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480" windowHeight="9870" tabRatio="601" activeTab="0"/>
  </bookViews>
  <sheets>
    <sheet name="Tableau entretien DL" sheetId="1" r:id="rId1"/>
    <sheet name="Base Opération" sheetId="2" r:id="rId2"/>
    <sheet name="Base Fourniture" sheetId="3" r:id="rId3"/>
    <sheet name="Base entretien" sheetId="4" r:id="rId4"/>
    <sheet name="Critère" sheetId="5" r:id="rId5"/>
    <sheet name="mises à jour" sheetId="6" r:id="rId6"/>
  </sheets>
  <definedNames>
    <definedName name="AM_Liste_Déroulante">'Tableau entretien DL'!$A$3</definedName>
    <definedName name="Base_Entretien">'Base entretien'!$5:$162</definedName>
    <definedName name="Base_Fourniture">'Base Fourniture'!$6:$60</definedName>
    <definedName name="Base_Opération">'Base Opération'!$10:$59</definedName>
    <definedName name="Batterie">'Critère'!$C$43:$C$44</definedName>
    <definedName name="Batterie_Année">'Critère'!$C$43:$D$44</definedName>
    <definedName name="Batterie_Année_I">'Critère'!$C$43:$E$44</definedName>
    <definedName name="Bougies">'Critère'!$C$28:$C$29</definedName>
    <definedName name="Bougies_Année">'Critère'!$C$28:$D$29</definedName>
    <definedName name="Bougies_Année_I">'Critère'!$C$28:$E$29</definedName>
    <definedName name="Contrôle_Niveau_Huile">'Critère'!$C$4:$C$5</definedName>
    <definedName name="Contrôle_Niveau_Huile_Année">'Critère'!$C$4:$D$5</definedName>
    <definedName name="Contrôle_Niveau_Huile_Année_I">'Critère'!$C$4:$E$5</definedName>
    <definedName name="Contrôle_Serrage_Visserie">'Critère'!$C$97:$C$98</definedName>
    <definedName name="Contrôle_Serrage_Visserie_Année">'Critère'!$C$97:$D$98</definedName>
    <definedName name="Contrôle_Serrage_Visserie_Année_I">'Critère'!$C$97:$E$98</definedName>
    <definedName name="Durit_Radiateur">'Critère'!$C$34:$C$35</definedName>
    <definedName name="Durit_Radiateur_Année">'Critère'!$C$34:$D$35</definedName>
    <definedName name="Durit_Radiateur_Année_I">'Critère'!$C$34:$E$35</definedName>
    <definedName name="Entretien_Chaîne">'Critère'!$C$79:$C$80</definedName>
    <definedName name="Entretien_Chaîne_Année">'Critère'!$C$79:$D$80</definedName>
    <definedName name="Entretien_Chaîne_Année_I">'Critère'!$C$79:$E$80</definedName>
    <definedName name="Essai_Route">'Critère'!$C$100:$C$101</definedName>
    <definedName name="Essai_Route_Année">'Critère'!$C$100:$D$101</definedName>
    <definedName name="Essai_Route_Année_I">'Critère'!$C$100:$E$101</definedName>
    <definedName name="Filtre_Base_Fourniture">'Base Fourniture'!$B$4</definedName>
    <definedName name="Filtre_Base_Opération">'Base Opération'!$B$4</definedName>
    <definedName name="Filtre_Huile">'Critère'!$C$10:$C$11</definedName>
    <definedName name="Filtre_Huile_Année">'Critère'!$C$10:$D$11</definedName>
    <definedName name="Filtre_Huile_Année_I">'Critère'!$C$10:$E$11</definedName>
    <definedName name="Fourniture">#REF!</definedName>
    <definedName name="Fréquence_Révision">'Base entretien'!$C$5:$AK$5</definedName>
    <definedName name="Garde_Embrayage">'Critère'!$C$40:$C$41</definedName>
    <definedName name="Garde_Embrayage_Année">'Critère'!$C$40:$D$41</definedName>
    <definedName name="Garde_Embrayage_Année_I">'Critère'!$C$40:$E$41</definedName>
    <definedName name="Graissage_Direction">'Critère'!$C$58:$C$59</definedName>
    <definedName name="Graissage_Direction_Année">'Critère'!$C$58:$D$59</definedName>
    <definedName name="Graissage_Direction_Année_I">'Critère'!$C$58:$E$59</definedName>
    <definedName name="Graissage_Suspension_AR">'Critère'!$C$52:$C$53</definedName>
    <definedName name="Graissage_Suspension_AR_Année">'Critère'!$C$52:$D$53</definedName>
    <definedName name="Graissage_Suspension_AR_Année_I">'Critère'!$C$52:$E$53</definedName>
    <definedName name="Jeu_Béquille_Centrale">'Critère'!$C$85:$C$86</definedName>
    <definedName name="Jeu_Béquille_Centrale_Année">'Critère'!$C$85:$D$86</definedName>
    <definedName name="Jeu_Béquille_Centrale_Année_I">'Critère'!$C$85:$E$86</definedName>
    <definedName name="Jeu_câbles_Gaz">'Critère'!$C$19:$C$20</definedName>
    <definedName name="Jeu_câbles_Gaz_Année">'Critère'!$C$19:$D$20</definedName>
    <definedName name="Jeu_câbles_Gaz_Année_I">'Critère'!$C$19:$E$20</definedName>
    <definedName name="Jeu_Direction">'Critère'!$C$55:$C$56</definedName>
    <definedName name="Jeu_Direction_Année_I">'Critère'!$C$55:$E$56</definedName>
    <definedName name="Jeu_Direstion">'Critère'!$C$55:$C$56</definedName>
    <definedName name="Jeu_Soupapes">'Critère'!$C$37:$C$38</definedName>
    <definedName name="Jeu_Soupapes_Année">'Critère'!$C$37:$D$38</definedName>
    <definedName name="Jeu_Soupapes_Année_I">'Critère'!$C$37:$E$38</definedName>
    <definedName name="KM">'Tableau entretien DL'!$I$7</definedName>
    <definedName name="KM_Liste_Déroulante">'Tableau entretien DL'!$I$3</definedName>
    <definedName name="Nettoyage_Filtre_Air">'Critère'!$C$13:$C$14</definedName>
    <definedName name="Nettoyage_Filtre_Air_Année">'Critère'!$C$13:$D$14</definedName>
    <definedName name="Nettoyage_Filtre_Air_Année_I">'Critère'!$C$13:$E$14</definedName>
    <definedName name="Niveau_Liquide_Frein_AR">'Critère'!$C$64:$C$65</definedName>
    <definedName name="Niveau_Liquide_Frein_AR_Année">'Critère'!$C$64:$D$65</definedName>
    <definedName name="Niveau_Liquide_Frein_AR_Année_I">'Critère'!$C$64:$E$65</definedName>
    <definedName name="Niveau_Liquide_Frein_AV">'Critère'!$C$61:$C$62</definedName>
    <definedName name="Niveau_Liquide_Frein_AV_Année">'Critère'!$C$61:$D$62</definedName>
    <definedName name="Niveau_Liquide_Frein_AV_Année_I">'Critère'!$C$61:$E$62</definedName>
    <definedName name="Régime_Ralenti">'Critère'!$C$16:$C$17</definedName>
    <definedName name="Régime_Ralenti_Année">'Critère'!$C$16:$D$17</definedName>
    <definedName name="Régime_Ralenti_Année_I">'Critère'!$C$16:$E$17</definedName>
    <definedName name="Réglage_Suspensions">'Critère'!$C$46:$C$47</definedName>
    <definedName name="Réglage_Suspensions_Année">'Critère'!$C$46:$D$47</definedName>
    <definedName name="Réglage_Suspensions_Année_I">'Critère'!$C$46:$E$47</definedName>
    <definedName name="Serrage_Echappement">'Critère'!$C$94:$C$95</definedName>
    <definedName name="Serrage_Echappement_Année">'Critère'!$C$94:$D$95</definedName>
    <definedName name="Serrage_Echappement_Année_I">'Critère'!$C$94:$E$95</definedName>
    <definedName name="Synchronisation_Papillons">'Critère'!$C$22:$C$23</definedName>
    <definedName name="Synchronisation_Papillons_Année">'Critère'!$C$22:$D$23</definedName>
    <definedName name="Synchronisation_Papillons_Année_I">'Critère'!$C$22:$E$23</definedName>
    <definedName name="Système_PAIR">'Critère'!$C$25:$C$26</definedName>
    <definedName name="Système_PAIR_Année">'Critère'!$C$25:$D$26</definedName>
    <definedName name="Système_PAIR_Année_I">'Critère'!$C$25:$E$26</definedName>
    <definedName name="Tableau_Entretien">'Tableau entretien DL'!$A$7:$P$66</definedName>
    <definedName name="TARIF_Horraire">'Tableau entretien DL'!$O$3</definedName>
    <definedName name="Tension_Chaîne">'Critère'!$C$82:$C$83</definedName>
    <definedName name="Tension_Chaîne_Année">'Critère'!$C$82:$D$83</definedName>
    <definedName name="Tension_Chaîne_Année_I">'Critère'!$C$82:$E$83</definedName>
    <definedName name="Usure_Plaquettes_Freins_AR">'Critère'!$C$76:$C$77</definedName>
    <definedName name="Usure_Plaquettes_Freins_AR_Année">'Critère'!$C$76:$D$77</definedName>
    <definedName name="Usure_Plaquettes_Freins_AR_Année_I">'Critère'!$C$76:$E$77</definedName>
    <definedName name="Usure_Plaquettes_Freins_AV">'Critère'!$C$73:$C$74</definedName>
    <definedName name="Usure_Plaquettes_Freins_AV_Année">'Critère'!$C$73:$D$74</definedName>
    <definedName name="Usure_Plaquettes_Freins_AV_Année_I">'Critère'!$C$73:$E$74</definedName>
    <definedName name="Usure_Pneumatique_AR">'Critère'!$C$91:$C$92</definedName>
    <definedName name="Usure_Pneumatique_AR_Année">'Critère'!$C$91:$D$92</definedName>
    <definedName name="Usure_Pneumatique_AR_Année_I">'Critère'!$C$91:$E$92</definedName>
    <definedName name="Usure_Pneumatique_AV">'Critère'!$C$88:$C$89</definedName>
    <definedName name="Usure_Pneumatique_AV_Année">'Critère'!$C$88:$D$89</definedName>
    <definedName name="Usure_Pneumatique_AV_Année_I">'Critère'!$C$88:$E$89</definedName>
    <definedName name="Vidange_Huile">'Critère'!$C$7:$C$8</definedName>
    <definedName name="Vidange_Huile_Année">'Critère'!$C$7:$D$8</definedName>
    <definedName name="Vidange_Huile_Année_I">'Critère'!$C$7:$E$8</definedName>
    <definedName name="Vidange_Liquide_Frein_AR">'Critère'!$C$70:$C$71</definedName>
    <definedName name="Vidange_Liquide_Frein_AR_Année">'Critère'!$C$70:$D$71</definedName>
    <definedName name="Vidange_Liquide_Frein_AR_Année_I">'Critère'!$C$70:$E$71</definedName>
    <definedName name="Vidange_Liquide_Frein_AV">'Critère'!$C$67:$C$68</definedName>
    <definedName name="Vidange_Liquide_Frein_AV_Année">'Critère'!$C$67:$D$68</definedName>
    <definedName name="Vidange_Liquide_Frein_AV_Année_I">'Critère'!$C$67:$E$68</definedName>
    <definedName name="Vidange_Liquide_Refroidissement">'Critère'!$C$31:$C$32</definedName>
    <definedName name="Vidange_Liquide_Refroidissement_Année">'Critère'!$C$31:$D$32</definedName>
    <definedName name="Vidange_Liquide_Refroidissement_Année_I">'Critère'!$C$31:$E$32</definedName>
    <definedName name="Vidanger_Huile_Fourche">'Critère'!$C$49:$C$50</definedName>
    <definedName name="Vidanger_Huile_Fourche_Année">'Critère'!$C$49:$D$50</definedName>
    <definedName name="Vidanger_Huile_Fourche_Année_I">'Critère'!$C$49:$E$50</definedName>
    <definedName name="Z_3BC2B636_3F67_426E_A37D_878597261C2F_.wvu.Cols" localSheetId="0" hidden="1">'Tableau entretien DL'!$D:$H</definedName>
    <definedName name="Z_3BC2B636_3F67_426E_A37D_878597261C2F_.wvu.PrintArea" localSheetId="0" hidden="1">'Tableau entretien DL'!$A$5:$R$62</definedName>
    <definedName name="_xlnm.Print_Area" localSheetId="1">'Base Opération'!$A:$I</definedName>
    <definedName name="_xlnm.Print_Area" localSheetId="0">'Tableau entretien DL'!$A:$R</definedName>
  </definedNames>
  <calcPr fullCalcOnLoad="1"/>
</workbook>
</file>

<file path=xl/comments1.xml><?xml version="1.0" encoding="utf-8"?>
<comments xmlns="http://schemas.openxmlformats.org/spreadsheetml/2006/main">
  <authors>
    <author>Perso</author>
  </authors>
  <commentList>
    <comment ref="I3" authorId="0">
      <text>
        <r>
          <rPr>
            <b/>
            <sz val="8"/>
            <rFont val="Tahoma"/>
            <family val="0"/>
          </rPr>
          <t>Selectionner la cellule puis utiliser la liste déroulante pour choisir le kilométrage.</t>
        </r>
      </text>
    </comment>
    <comment ref="A3" authorId="0">
      <text>
        <r>
          <rPr>
            <b/>
            <sz val="8"/>
            <rFont val="Tahoma"/>
            <family val="0"/>
          </rPr>
          <t>Selectionner la cellule puis utiliser la liste déroulante pour choisir l'Année Modèle de votre superbe chouette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Saisir le Taux horaire TTC de votre concessionnaire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0"/>
          </rPr>
          <t>Sur certaines opérations, il est possible de forcer le type d'intervention.</t>
        </r>
      </text>
    </comment>
    <comment ref="B47" authorId="0">
      <text>
        <r>
          <rPr>
            <b/>
            <sz val="8"/>
            <rFont val="Tahoma"/>
            <family val="2"/>
          </rPr>
          <t>Sélectionner la cellule puis utiliser la liste déroulante pour forcer l'opération</t>
        </r>
      </text>
    </comment>
    <comment ref="B46" authorId="0">
      <text>
        <r>
          <rPr>
            <b/>
            <sz val="8"/>
            <rFont val="Tahoma"/>
            <family val="0"/>
          </rPr>
          <t>Sélectionner la cellule puis utiliser la liste déroulante pour forcer l'opération</t>
        </r>
        <r>
          <rPr>
            <sz val="8"/>
            <rFont val="Tahoma"/>
            <family val="0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0"/>
          </rPr>
          <t>Sélectionner la cellule puis utiliser la liste déroulante pour forcer l'opération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b/>
            <sz val="8"/>
            <rFont val="Tahoma"/>
            <family val="0"/>
          </rPr>
          <t>Sélectionner la cellule puis utiliser la liste déroulante pour forcer l'opération</t>
        </r>
        <r>
          <rPr>
            <sz val="8"/>
            <rFont val="Tahoma"/>
            <family val="0"/>
          </rPr>
          <t xml:space="preserve">
</t>
        </r>
      </text>
    </comment>
    <comment ref="B41" authorId="0">
      <text>
        <r>
          <rPr>
            <b/>
            <sz val="8"/>
            <rFont val="Tahoma"/>
            <family val="0"/>
          </rPr>
          <t>Sélectionner la cellule puis utiliser la liste déroulante pour forcer l'opération</t>
        </r>
        <r>
          <rPr>
            <sz val="8"/>
            <rFont val="Tahoma"/>
            <family val="0"/>
          </rPr>
          <t xml:space="preserve">
</t>
        </r>
      </text>
    </comment>
    <comment ref="B40" authorId="0">
      <text>
        <r>
          <rPr>
            <b/>
            <sz val="8"/>
            <rFont val="Tahoma"/>
            <family val="0"/>
          </rPr>
          <t>Sélectionner la cellule puis utiliser la liste déroulante pour forcer l'opération</t>
        </r>
      </text>
    </comment>
    <comment ref="B39" authorId="0">
      <text>
        <r>
          <rPr>
            <b/>
            <sz val="8"/>
            <rFont val="Tahoma"/>
            <family val="0"/>
          </rPr>
          <t>Sélectionner la cellule puis utiliser la liste déroulante pour forcer l'opération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0"/>
          </rPr>
          <t>Sélectionner la cellule puis utiliser la liste déroulante pour forcer l'opération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Sélectionner la cellule puis utiliser la liste déroulante pour forcer l'opération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Sélectionner la cellule puis utiliser la liste déroulante pour forcer l'opération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Sélectionner la cellule puis utiliser la liste déroulante pour forcer l'opération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0"/>
          </rPr>
          <t>Sélectionner la cellule puis utiliser la liste déroulante pour forcer l'opération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Perso</author>
  </authors>
  <commentList>
    <comment ref="A10" authorId="0">
      <text>
        <r>
          <rPr>
            <sz val="8"/>
            <rFont val="Tahoma"/>
            <family val="0"/>
          </rPr>
          <t xml:space="preserve">Information sur le type d'intervention en fonction des critères du "tableau entretien DL"
</t>
        </r>
      </text>
    </comment>
    <comment ref="B4" authorId="0">
      <text>
        <r>
          <rPr>
            <b/>
            <sz val="8"/>
            <rFont val="Tahoma"/>
            <family val="0"/>
          </rPr>
          <t>Filtrer les opération à effectuer en fonction des critères préalablement saisies dans la feuille "Tableau entretien DL"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Taux Horaire modifiable à partir du tableau Entretien DL</t>
        </r>
      </text>
    </comment>
  </commentList>
</comments>
</file>

<file path=xl/comments3.xml><?xml version="1.0" encoding="utf-8"?>
<comments xmlns="http://schemas.openxmlformats.org/spreadsheetml/2006/main">
  <authors>
    <author>Perso</author>
  </authors>
  <commentList>
    <comment ref="A6" authorId="0">
      <text>
        <r>
          <rPr>
            <sz val="8"/>
            <rFont val="Tahoma"/>
            <family val="0"/>
          </rPr>
          <t xml:space="preserve">Information sur le type d'intervention en fonction des critères du "tableau entretien DL"
</t>
        </r>
      </text>
    </comment>
    <comment ref="B4" authorId="0">
      <text>
        <r>
          <rPr>
            <b/>
            <sz val="8"/>
            <rFont val="Tahoma"/>
            <family val="0"/>
          </rPr>
          <t>Filtrer les fournitures utilisées en fonction des critères préalablement saisies dans la feuille "Tableau entretien DL"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<sst xmlns="http://schemas.openxmlformats.org/spreadsheetml/2006/main" count="1735" uniqueCount="285">
  <si>
    <t>DL 650  V Strom</t>
  </si>
  <si>
    <t>Moteur</t>
  </si>
  <si>
    <t>Vidange d'huile</t>
  </si>
  <si>
    <t>Filtre à huile</t>
  </si>
  <si>
    <t>Régime du ralenti</t>
  </si>
  <si>
    <t>Jeu de câbles de gaz</t>
  </si>
  <si>
    <t>Synchronisation des papillons</t>
  </si>
  <si>
    <t>Système PAIR</t>
  </si>
  <si>
    <t>Bougies</t>
  </si>
  <si>
    <t>Durit de radiateur</t>
  </si>
  <si>
    <t>Jeu aux soupapes</t>
  </si>
  <si>
    <t>Garde à l'embrayage</t>
  </si>
  <si>
    <t>Electricité</t>
  </si>
  <si>
    <t xml:space="preserve">Batterie </t>
  </si>
  <si>
    <t>Partie cycle</t>
  </si>
  <si>
    <t>Réglage de suspensions</t>
  </si>
  <si>
    <t>Vidanger d'huile de fourche</t>
  </si>
  <si>
    <t>Graissage de suspension AR</t>
  </si>
  <si>
    <t>Graissage de la direction</t>
  </si>
  <si>
    <t>Nettoyage du filtre à air</t>
  </si>
  <si>
    <t>Contrôle du niveau dhuile</t>
  </si>
  <si>
    <t>Vidange du liquide de refroidissement</t>
  </si>
  <si>
    <t>Suzuki</t>
  </si>
  <si>
    <t>Entretien de la chaîne</t>
  </si>
  <si>
    <t>Tension de la chaîne</t>
  </si>
  <si>
    <t>Divers</t>
  </si>
  <si>
    <t>Serrage de l'échappement</t>
  </si>
  <si>
    <t>Difficulté</t>
  </si>
  <si>
    <t>300 km</t>
  </si>
  <si>
    <t>2 ans</t>
  </si>
  <si>
    <t>6 mois</t>
  </si>
  <si>
    <t>avant déplacement</t>
  </si>
  <si>
    <t>1 000 km</t>
  </si>
  <si>
    <t>après pluie ou</t>
  </si>
  <si>
    <t>R</t>
  </si>
  <si>
    <t>I</t>
  </si>
  <si>
    <t>Risque : calage</t>
  </si>
  <si>
    <t>1 X mois</t>
  </si>
  <si>
    <t>S</t>
  </si>
  <si>
    <t xml:space="preserve">  F </t>
  </si>
  <si>
    <t>A</t>
  </si>
  <si>
    <t xml:space="preserve">D </t>
  </si>
  <si>
    <t xml:space="preserve">Légende     </t>
  </si>
  <si>
    <t>Jeu à la béquille centrale</t>
  </si>
  <si>
    <t>1 x an</t>
  </si>
  <si>
    <t>origine 5 mm / voile maxi 0,3 mm / ép. Mini 4,5 mm</t>
  </si>
  <si>
    <r>
      <t>F</t>
    </r>
    <r>
      <rPr>
        <sz val="10"/>
        <rFont val="Arial"/>
        <family val="0"/>
      </rPr>
      <t xml:space="preserve"> Facile</t>
    </r>
  </si>
  <si>
    <r>
      <t>A</t>
    </r>
    <r>
      <rPr>
        <sz val="10"/>
        <rFont val="Arial"/>
        <family val="0"/>
      </rPr>
      <t xml:space="preserve"> avec Attention</t>
    </r>
  </si>
  <si>
    <r>
      <t>D</t>
    </r>
    <r>
      <rPr>
        <sz val="10"/>
        <rFont val="Arial"/>
        <family val="0"/>
      </rPr>
      <t xml:space="preserve"> Délicat</t>
    </r>
  </si>
  <si>
    <r>
      <t>R</t>
    </r>
    <r>
      <rPr>
        <sz val="10"/>
        <rFont val="Arial"/>
        <family val="0"/>
      </rPr>
      <t xml:space="preserve"> = remplacer </t>
    </r>
  </si>
  <si>
    <t>2,7 l si changement de filtre</t>
  </si>
  <si>
    <t>2,3 l vidange simple</t>
  </si>
  <si>
    <t>Chouette ! !</t>
  </si>
  <si>
    <t>systèmatiquement en sortie d'hivernage</t>
  </si>
  <si>
    <t>Faire tourner le moteur avant de vérifier</t>
  </si>
  <si>
    <t>Probablement 18,000/20,000 km</t>
  </si>
  <si>
    <t>Les concessionnaires ont tendance à trop tendre la chaîne</t>
  </si>
  <si>
    <r>
      <t>I</t>
    </r>
    <r>
      <rPr>
        <sz val="10"/>
        <rFont val="Arial"/>
        <family val="0"/>
      </rPr>
      <t xml:space="preserve"> = Inspection et Réglage, serrage ou remplacement</t>
    </r>
  </si>
  <si>
    <r>
      <t>S</t>
    </r>
    <r>
      <rPr>
        <sz val="10"/>
        <rFont val="Arial"/>
        <family val="0"/>
      </rPr>
      <t xml:space="preserve"> = Serrage ou resserrage</t>
    </r>
  </si>
  <si>
    <r>
      <t>Observations (</t>
    </r>
    <r>
      <rPr>
        <b/>
        <sz val="9"/>
        <color indexed="21"/>
        <rFont val="Arial"/>
        <family val="2"/>
      </rPr>
      <t>en vert : avis des stromeurs</t>
    </r>
    <r>
      <rPr>
        <sz val="9"/>
        <rFont val="Arial"/>
        <family val="0"/>
      </rPr>
      <t>)</t>
    </r>
  </si>
  <si>
    <t>Marque</t>
  </si>
  <si>
    <t>NGK</t>
  </si>
  <si>
    <t>REF</t>
  </si>
  <si>
    <t>Année</t>
  </si>
  <si>
    <t>Commentaires</t>
  </si>
  <si>
    <t>Opération</t>
  </si>
  <si>
    <t>Domaine</t>
  </si>
  <si>
    <t>2003;2004;2005;2006;</t>
  </si>
  <si>
    <t>Joint de bouchon</t>
  </si>
  <si>
    <t>nc</t>
  </si>
  <si>
    <t>Plaquettes avant</t>
  </si>
  <si>
    <t>Plaquettes arrières</t>
  </si>
  <si>
    <t>Prix</t>
  </si>
  <si>
    <t>TOTAL</t>
  </si>
  <si>
    <t>Filtre à air</t>
  </si>
  <si>
    <t>Jeu à la direction</t>
  </si>
  <si>
    <t>Contrôle de serrage de visserie</t>
  </si>
  <si>
    <t>Contrôle_Niveau_Huile</t>
  </si>
  <si>
    <t>Vidange_Huile</t>
  </si>
  <si>
    <t>Filtre_Huile</t>
  </si>
  <si>
    <t>Nettoyage_Filtre_Air</t>
  </si>
  <si>
    <t>Régime_Ralenti</t>
  </si>
  <si>
    <t>Jeu_câbles_Gaz</t>
  </si>
  <si>
    <t>Synchronisation_Papillons</t>
  </si>
  <si>
    <t>Système_PAIR</t>
  </si>
  <si>
    <t>Vidange_Liquide_Refroidissement</t>
  </si>
  <si>
    <t>Durit_Radiateur</t>
  </si>
  <si>
    <t>Jeu_Soupapes</t>
  </si>
  <si>
    <t>Garde_Embrayage</t>
  </si>
  <si>
    <t>Batterie</t>
  </si>
  <si>
    <t>Réglage_Suspensions</t>
  </si>
  <si>
    <t>Vidanger_Huile_Fourche</t>
  </si>
  <si>
    <t>Graissage_Suspension_AR</t>
  </si>
  <si>
    <t>Jeu_Direction</t>
  </si>
  <si>
    <t>Graissage_Direction</t>
  </si>
  <si>
    <t>Entretien_Chaîne</t>
  </si>
  <si>
    <t>Tension_Chaîne</t>
  </si>
  <si>
    <t>Jeu_Béquille_Centrale</t>
  </si>
  <si>
    <t>Serrage_Echappement</t>
  </si>
  <si>
    <t>Contrôle_Serrage_Visserie</t>
  </si>
  <si>
    <t>Huile de Fourche</t>
  </si>
  <si>
    <t>Liquide de refroidissement</t>
  </si>
  <si>
    <t>1 350 / 1 400 t/m moteur chaud</t>
  </si>
  <si>
    <t>Avec TRE 1,00/1,100 t/m</t>
  </si>
  <si>
    <t>524 ml d'huile ss 08</t>
  </si>
  <si>
    <t>Contrôle_Niveau_Huile_Année</t>
  </si>
  <si>
    <t>Vidange_Huile_Année</t>
  </si>
  <si>
    <t>Filtre_Huile_Année</t>
  </si>
  <si>
    <t>Nettoyage_Filtre_Air_Année</t>
  </si>
  <si>
    <t>Régime_Ralenti_Année</t>
  </si>
  <si>
    <t>Jeu_câbles_Gaz_Année</t>
  </si>
  <si>
    <t>Synchronisation_Papillons_Année</t>
  </si>
  <si>
    <t>Système_PAIR_Année</t>
  </si>
  <si>
    <t>Bougies_Année</t>
  </si>
  <si>
    <t>Vidange_Liquide_Refroidissement_Année</t>
  </si>
  <si>
    <t>Durit_Radiateur_Année</t>
  </si>
  <si>
    <t>Jeu_Soupapes_Année</t>
  </si>
  <si>
    <t>Garde_Embrayage_Année</t>
  </si>
  <si>
    <t>Batterie_Année</t>
  </si>
  <si>
    <t>Réglage_Suspensions_Année</t>
  </si>
  <si>
    <t>Vidanger_Huile_Fourche_Année</t>
  </si>
  <si>
    <t>Graissage_Suspension_AR_Année</t>
  </si>
  <si>
    <t>Jeu_Direction_Année</t>
  </si>
  <si>
    <t>Graissage_Direction_Année</t>
  </si>
  <si>
    <t>Entretien_Chaîne_Année</t>
  </si>
  <si>
    <t>Tension_Chaîne_Année</t>
  </si>
  <si>
    <t>Jeu_Béquille_Centrale_Année</t>
  </si>
  <si>
    <t>Serrage_Echappement_Année</t>
  </si>
  <si>
    <t>Contrôle_Serrage_Visserie_Année</t>
  </si>
  <si>
    <t>Critères pour réchercher les opérations</t>
  </si>
  <si>
    <t>Noms attribués aux plages de critères</t>
  </si>
  <si>
    <t>Critère Opération</t>
  </si>
  <si>
    <t>Critère Opération/Année</t>
  </si>
  <si>
    <t>Prix Acc</t>
  </si>
  <si>
    <t>Quantité Acc</t>
  </si>
  <si>
    <t>Total Acc</t>
  </si>
  <si>
    <t>Prix Accessoiriste</t>
  </si>
  <si>
    <t>Quantité Cons</t>
  </si>
  <si>
    <t>Total Cons</t>
  </si>
  <si>
    <t>Huile 10w40</t>
  </si>
  <si>
    <t>Castrol</t>
  </si>
  <si>
    <t>10w40</t>
  </si>
  <si>
    <t>Essai sur Route</t>
  </si>
  <si>
    <t>Bougie NGK CR8E</t>
  </si>
  <si>
    <t>Kit Chaîne</t>
  </si>
  <si>
    <t>Prix Concessionnaire I</t>
  </si>
  <si>
    <t>Cable Embrayage</t>
  </si>
  <si>
    <t>Disque Embrayage</t>
  </si>
  <si>
    <t>Disque Acier</t>
  </si>
  <si>
    <t>Rondelle</t>
  </si>
  <si>
    <t>Cage à aiguille</t>
  </si>
  <si>
    <t>Ressort</t>
  </si>
  <si>
    <t>Liquide de Frein dot 4</t>
  </si>
  <si>
    <t>dot 4</t>
  </si>
  <si>
    <t>CR8E</t>
  </si>
  <si>
    <t>Nettoyant</t>
  </si>
  <si>
    <t>Spray / Graisse / Huile</t>
  </si>
  <si>
    <t>Intervention</t>
  </si>
  <si>
    <t>I;</t>
  </si>
  <si>
    <t>R;</t>
  </si>
  <si>
    <t>S;</t>
  </si>
  <si>
    <t>MO Conc</t>
  </si>
  <si>
    <t>Prix MO Conc</t>
  </si>
  <si>
    <t>Révision concessionaire</t>
  </si>
  <si>
    <t>Révision Stromeurs</t>
  </si>
  <si>
    <t>I;R;</t>
  </si>
  <si>
    <t>Colonne B non utilisé (Info)</t>
  </si>
  <si>
    <t>Critère Opération/Année/Intervention</t>
  </si>
  <si>
    <t>Contrôle_Niveau_Huile_Année_I</t>
  </si>
  <si>
    <t>Vidange_Huile_Année_I</t>
  </si>
  <si>
    <t>Filtre_Huile_Année_I</t>
  </si>
  <si>
    <t>Nettoyage_Filtre_Air_Année_I</t>
  </si>
  <si>
    <t>Régime_Ralenti_Année_I</t>
  </si>
  <si>
    <t>Jeu_câbles_Gaz_Année_I</t>
  </si>
  <si>
    <t>Synchronisation_Papillons_Année_I</t>
  </si>
  <si>
    <t>Système_PAIR_Année_I</t>
  </si>
  <si>
    <t>Bougies_Année_I</t>
  </si>
  <si>
    <t>Vidange_Liquide_Refroidissement_Année_I</t>
  </si>
  <si>
    <t>Durit_Radiateur_Année_I</t>
  </si>
  <si>
    <t>Jeu_Soupapes_Année_I</t>
  </si>
  <si>
    <t>Garde_Embrayage_Année_I</t>
  </si>
  <si>
    <t>Batterie_Année_I</t>
  </si>
  <si>
    <t>Réglage_Suspensions_Année_I</t>
  </si>
  <si>
    <t>Vidanger_Huile_Fourche_Année_I</t>
  </si>
  <si>
    <t>Graissage_Suspension_AR_Année_I</t>
  </si>
  <si>
    <t>Jeu_Direction_Année_I</t>
  </si>
  <si>
    <t>Graissage_Direction_Année_I</t>
  </si>
  <si>
    <t>Entretien_Chaîne_Année_I</t>
  </si>
  <si>
    <t>Tension_Chaîne_Année_I</t>
  </si>
  <si>
    <t>Jeu_Béquille_Centrale_Année_I</t>
  </si>
  <si>
    <t>Serrage_Echappement_Année_I</t>
  </si>
  <si>
    <t>Contrôle_Serrage_Visserie_Année_I</t>
  </si>
  <si>
    <t>MO Stromeurs</t>
  </si>
  <si>
    <t>Fourniture</t>
  </si>
  <si>
    <t>MO</t>
  </si>
  <si>
    <t>E</t>
  </si>
  <si>
    <t>Essai_Route</t>
  </si>
  <si>
    <t>Essai_Route_Année</t>
  </si>
  <si>
    <t>Essai_Route_Année_I</t>
  </si>
  <si>
    <t>E;</t>
  </si>
  <si>
    <t xml:space="preserve">  F</t>
  </si>
  <si>
    <t>Pneu Avant (Michelin PR)</t>
  </si>
  <si>
    <t>Pneu Arrière (Michelin PR)</t>
  </si>
  <si>
    <r>
      <t>E</t>
    </r>
    <r>
      <rPr>
        <sz val="10"/>
        <rFont val="Arial"/>
        <family val="0"/>
      </rPr>
      <t xml:space="preserve"> = Essai</t>
    </r>
  </si>
  <si>
    <t>Niveau de liquide de frein AV</t>
  </si>
  <si>
    <t>Niveau de liquide de frein AR</t>
  </si>
  <si>
    <t>Vidange de liquide de frein AV</t>
  </si>
  <si>
    <t>Vidange de liquide de frein AR</t>
  </si>
  <si>
    <t>Usure des plaquettes de freins AV</t>
  </si>
  <si>
    <t>Usure des plaquettes de freins AR</t>
  </si>
  <si>
    <t>Usure Pneumatique AV</t>
  </si>
  <si>
    <t>Usure Pneumatique AR</t>
  </si>
  <si>
    <t>Niveau_Liquide_Frein_AV</t>
  </si>
  <si>
    <t>Niveau_Liquide_Frein_AV_Année</t>
  </si>
  <si>
    <t>Niveau_Liquide_Frein_AV_Année_I</t>
  </si>
  <si>
    <t>Niveau_Liquide_Frein_AR</t>
  </si>
  <si>
    <t>Niveau_Liquide_Frein_AR_Année</t>
  </si>
  <si>
    <t>Niveau_Liquide_Frein_AR_Année_I</t>
  </si>
  <si>
    <t>Vidange_Liquide_Frein_AV</t>
  </si>
  <si>
    <t>Vidange_Liquide_Frein_AV_Année</t>
  </si>
  <si>
    <t>Vidange_Liquide_Frein_AV_Année_I</t>
  </si>
  <si>
    <t>Vidange_Liquide_Frein_AR</t>
  </si>
  <si>
    <t>Vidange_Liquide_Frein_AR_Année</t>
  </si>
  <si>
    <t>Vidange_Liquide_Frein_AR_Année_I</t>
  </si>
  <si>
    <t>Usure_Plaquettes_Freins_AV</t>
  </si>
  <si>
    <t>Usure_Plaquettes_Freins_AV_Année</t>
  </si>
  <si>
    <t>Usure_Plaquettes_Freins_AV_Année_I</t>
  </si>
  <si>
    <t>Usure_Plaquettes_Freins_AR</t>
  </si>
  <si>
    <t>Usure_Plaquettes_Freins_AR_Année</t>
  </si>
  <si>
    <t>Usure_Plaquettes_Freins_AR_Année_I</t>
  </si>
  <si>
    <t>Usure_Pneumatique_AV</t>
  </si>
  <si>
    <t>Usure_Pneumatique_AV_Année</t>
  </si>
  <si>
    <t>Usure_Pneumatique_AV_Année_I</t>
  </si>
  <si>
    <t>Usure_Pneumatique_AR</t>
  </si>
  <si>
    <t>Usure_Pneumatique_AR_Année</t>
  </si>
  <si>
    <t>Usure_Pneumatique_AR_Année_I</t>
  </si>
  <si>
    <t>Estimation 
Révision Concessionnaire</t>
  </si>
  <si>
    <t>Estimation 
Révision Vstromeurs</t>
  </si>
  <si>
    <t>Prix Cons</t>
  </si>
  <si>
    <t>Filtrage en fonction du "tableau entretien DL"</t>
  </si>
  <si>
    <t>Accès aux détails des opérations</t>
  </si>
  <si>
    <t>Accès aux détails des Fournitures</t>
  </si>
  <si>
    <t>Retour au tableau Entretien DL</t>
  </si>
  <si>
    <t>Un VSTROM 650 Gris :-)</t>
  </si>
  <si>
    <t>En gris, c'est la grande classe.</t>
  </si>
  <si>
    <t>Accès à la base Entretien</t>
  </si>
  <si>
    <t>Taux Horaire</t>
  </si>
  <si>
    <t>Attention, En cas de modification des critères, les formules calculées peuvent ne plus fonctionner !</t>
  </si>
  <si>
    <t>KM</t>
  </si>
  <si>
    <t>* Pour la révision des 1000 la MO n'est pas compté</t>
  </si>
  <si>
    <t>O</t>
  </si>
  <si>
    <t>Mode d'emploi</t>
  </si>
  <si>
    <t xml:space="preserve">  pratiqué par votre concessionnaire,</t>
  </si>
  <si>
    <t>pointeur sur zone = bulle d'aide</t>
  </si>
  <si>
    <t>un peu de WD40 en début d'hiver</t>
  </si>
  <si>
    <r>
      <t xml:space="preserve">  Choisissez botre </t>
    </r>
    <r>
      <rPr>
        <u val="single"/>
        <sz val="10"/>
        <rFont val="Arial"/>
        <family val="2"/>
      </rPr>
      <t>année</t>
    </r>
    <r>
      <rPr>
        <sz val="10"/>
        <rFont val="Arial"/>
        <family val="2"/>
      </rPr>
      <t xml:space="preserve"> modèle (à gauche), puis votre</t>
    </r>
  </si>
  <si>
    <r>
      <t xml:space="preserve">  </t>
    </r>
    <r>
      <rPr>
        <u val="single"/>
        <sz val="10"/>
        <rFont val="Arial"/>
        <family val="2"/>
      </rPr>
      <t>kilomètrage</t>
    </r>
    <r>
      <rPr>
        <sz val="10"/>
        <rFont val="Arial"/>
        <family val="2"/>
      </rPr>
      <t xml:space="preserve"> (au milieu), et enfin, entrez le </t>
    </r>
    <r>
      <rPr>
        <u val="single"/>
        <sz val="10"/>
        <rFont val="Arial"/>
        <family val="2"/>
      </rPr>
      <t>tarif</t>
    </r>
    <r>
      <rPr>
        <sz val="10"/>
        <rFont val="Arial"/>
        <family val="2"/>
      </rPr>
      <t xml:space="preserve"> horaire</t>
    </r>
  </si>
  <si>
    <t>prix TTC</t>
  </si>
  <si>
    <t>Vérifier le niveau régulièrement</t>
  </si>
  <si>
    <r>
      <t xml:space="preserve"> </t>
    </r>
    <r>
      <rPr>
        <b/>
        <sz val="9"/>
        <color indexed="21"/>
        <rFont val="Arial"/>
        <family val="2"/>
      </rPr>
      <t xml:space="preserve"> probablement 30,000 km</t>
    </r>
  </si>
  <si>
    <t>Historique</t>
  </si>
  <si>
    <t>Date</t>
  </si>
  <si>
    <t>Objet</t>
  </si>
  <si>
    <t>Version</t>
  </si>
  <si>
    <t>V0005</t>
  </si>
  <si>
    <t>V0006</t>
  </si>
  <si>
    <t xml:space="preserve">Base opération / Indexation des filtres </t>
  </si>
  <si>
    <t>Base fourniture / Indexation des filtres</t>
  </si>
  <si>
    <t>Base Opération / totaux ligne 48</t>
  </si>
  <si>
    <t>Base opération / Sommation des prix des pneus</t>
  </si>
  <si>
    <t>Base entretien / Contrôle Niveau huile systématique</t>
  </si>
  <si>
    <t>2003;2004;2005;2006;2007;2008;2009;</t>
  </si>
  <si>
    <t>2007;2008;2009;</t>
  </si>
  <si>
    <t>Roulements de colonne de direction</t>
  </si>
  <si>
    <t>Joints spi</t>
  </si>
  <si>
    <t>Base fourniture / Mise jour prix de l'huile de fourche</t>
  </si>
  <si>
    <t>Base fourniture / Prix Pneus</t>
  </si>
  <si>
    <t>OUI</t>
  </si>
  <si>
    <t>Base Opération / Mise à jour MO pour remplacement jeu direction</t>
  </si>
  <si>
    <t>Ajout modèle AM 2009 dans "AM_Liste_Déroulante", Base fourniture, Base entretien</t>
  </si>
  <si>
    <t>Base fourniture / Ajout fournitures pour Jeu à la direction</t>
  </si>
  <si>
    <r>
      <t xml:space="preserve"> </t>
    </r>
    <r>
      <rPr>
        <b/>
        <sz val="9"/>
        <color indexed="21"/>
        <rFont val="Arial"/>
        <family val="2"/>
      </rPr>
      <t xml:space="preserve"> Roulement à remplacer entre 66 000 km et 85 000 km</t>
    </r>
  </si>
  <si>
    <t>Tableau entretien DL /  jeu direction - Roulement à remplacer entre 66 000 km et 85 000 km</t>
  </si>
  <si>
    <t xml:space="preserve">Tableau entretien DL /  jeu direction - Ajout Liste déroulante pour forcer l'opération de remplacement </t>
  </si>
  <si>
    <t xml:space="preserve">     Ce tableau n'est pas modifiable en ligne !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</si>
</sst>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[$-40C]d\-mmm\-yy;@"/>
    <numFmt numFmtId="174" formatCode="[$-40C]d\ mmmm\ yyyy;@"/>
    <numFmt numFmtId="175" formatCode="#,##0\_&quot;km&quot;"/>
    <numFmt numFmtId="176" formatCode="###0\_&quot;AM&quot;"/>
    <numFmt numFmtId="177" formatCode="#,##0.00\ [$EUR]"/>
    <numFmt numFmtId="178" formatCode="#,##0.00\ [$€-1]"/>
    <numFmt numFmtId="179" formatCode="_-* #,##0.00\ [$€-1]_-;\-* #,##0.00\ [$€-1]_-;_-* &quot;-&quot;??\ [$€-1]_-;_-@_-"/>
    <numFmt numFmtId="180" formatCode="[$-F800]dddd\,\ mmmm\ dd\,\ yyyy"/>
  </numFmts>
  <fonts count="43">
    <font>
      <sz val="10"/>
      <name val="Arial"/>
      <family val="0"/>
    </font>
    <font>
      <b/>
      <sz val="12"/>
      <name val="Arial"/>
      <family val="2"/>
    </font>
    <font>
      <b/>
      <i/>
      <sz val="16"/>
      <color indexed="10"/>
      <name val="Arial Black"/>
      <family val="2"/>
    </font>
    <font>
      <sz val="9"/>
      <name val="Arial"/>
      <family val="0"/>
    </font>
    <font>
      <sz val="10"/>
      <name val="Arial Black"/>
      <family val="2"/>
    </font>
    <font>
      <sz val="11"/>
      <name val="Arial Black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i/>
      <sz val="14"/>
      <name val="Arial Black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9"/>
      <color indexed="21"/>
      <name val="Arial"/>
      <family val="2"/>
    </font>
    <font>
      <b/>
      <sz val="8"/>
      <name val="Tahoma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ashed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0" fillId="21" borderId="3" applyNumberFormat="0" applyFont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2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21" borderId="10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3" fillId="21" borderId="11" xfId="0" applyFont="1" applyFill="1" applyBorder="1" applyAlignment="1">
      <alignment horizontal="center"/>
    </xf>
    <xf numFmtId="0" fontId="7" fillId="21" borderId="17" xfId="0" applyFont="1" applyFill="1" applyBorder="1" applyAlignment="1">
      <alignment horizontal="left"/>
    </xf>
    <xf numFmtId="0" fontId="7" fillId="21" borderId="17" xfId="0" applyFont="1" applyFill="1" applyBorder="1" applyAlignment="1">
      <alignment horizontal="right"/>
    </xf>
    <xf numFmtId="0" fontId="6" fillId="21" borderId="17" xfId="0" applyFont="1" applyFill="1" applyBorder="1" applyAlignment="1">
      <alignment horizontal="center"/>
    </xf>
    <xf numFmtId="0" fontId="7" fillId="21" borderId="16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1" borderId="22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21" borderId="17" xfId="0" applyFont="1" applyFill="1" applyBorder="1" applyAlignment="1">
      <alignment horizontal="left" vertical="center"/>
    </xf>
    <xf numFmtId="0" fontId="9" fillId="21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1" borderId="2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11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12" fillId="0" borderId="26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9" fillId="0" borderId="29" xfId="0" applyNumberFormat="1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21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21" borderId="32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9" fillId="0" borderId="0" xfId="0" applyFont="1" applyAlignment="1">
      <alignment/>
    </xf>
    <xf numFmtId="0" fontId="9" fillId="0" borderId="33" xfId="0" applyFont="1" applyBorder="1" applyAlignment="1">
      <alignment/>
    </xf>
    <xf numFmtId="0" fontId="9" fillId="0" borderId="33" xfId="0" applyFont="1" applyBorder="1" applyAlignment="1">
      <alignment horizontal="left"/>
    </xf>
    <xf numFmtId="46" fontId="0" fillId="0" borderId="0" xfId="0" applyNumberFormat="1" applyAlignment="1">
      <alignment/>
    </xf>
    <xf numFmtId="0" fontId="9" fillId="0" borderId="33" xfId="0" applyFont="1" applyFill="1" applyBorder="1" applyAlignment="1">
      <alignment/>
    </xf>
    <xf numFmtId="0" fontId="0" fillId="21" borderId="0" xfId="0" applyFill="1" applyAlignment="1">
      <alignment/>
    </xf>
    <xf numFmtId="176" fontId="14" fillId="0" borderId="29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8" fontId="0" fillId="0" borderId="0" xfId="0" applyNumberFormat="1" applyAlignment="1">
      <alignment/>
    </xf>
    <xf numFmtId="178" fontId="9" fillId="0" borderId="29" xfId="0" applyNumberFormat="1" applyFont="1" applyBorder="1" applyAlignment="1">
      <alignment horizontal="center" vertical="top" wrapText="1"/>
    </xf>
    <xf numFmtId="178" fontId="0" fillId="0" borderId="19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9" fillId="21" borderId="11" xfId="0" applyNumberFormat="1" applyFont="1" applyFill="1" applyBorder="1" applyAlignment="1">
      <alignment horizontal="center"/>
    </xf>
    <xf numFmtId="178" fontId="9" fillId="0" borderId="11" xfId="0" applyNumberFormat="1" applyFont="1" applyBorder="1" applyAlignment="1">
      <alignment horizontal="center"/>
    </xf>
    <xf numFmtId="178" fontId="9" fillId="21" borderId="14" xfId="0" applyNumberFormat="1" applyFont="1" applyFill="1" applyBorder="1" applyAlignment="1">
      <alignment horizontal="center"/>
    </xf>
    <xf numFmtId="178" fontId="9" fillId="0" borderId="0" xfId="0" applyNumberFormat="1" applyFont="1" applyAlignment="1">
      <alignment horizontal="center"/>
    </xf>
    <xf numFmtId="178" fontId="9" fillId="0" borderId="19" xfId="0" applyNumberFormat="1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/>
    </xf>
    <xf numFmtId="178" fontId="4" fillId="0" borderId="0" xfId="0" applyNumberFormat="1" applyFont="1" applyAlignment="1">
      <alignment horizontal="right"/>
    </xf>
    <xf numFmtId="178" fontId="9" fillId="0" borderId="34" xfId="0" applyNumberFormat="1" applyFont="1" applyBorder="1" applyAlignment="1">
      <alignment horizontal="center"/>
    </xf>
    <xf numFmtId="178" fontId="9" fillId="0" borderId="29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4" borderId="0" xfId="0" applyFill="1" applyAlignment="1">
      <alignment/>
    </xf>
    <xf numFmtId="0" fontId="9" fillId="4" borderId="33" xfId="0" applyFont="1" applyFill="1" applyBorder="1" applyAlignment="1">
      <alignment/>
    </xf>
    <xf numFmtId="0" fontId="0" fillId="4" borderId="33" xfId="0" applyFill="1" applyBorder="1" applyAlignment="1">
      <alignment/>
    </xf>
    <xf numFmtId="0" fontId="3" fillId="0" borderId="33" xfId="0" applyFont="1" applyBorder="1" applyAlignment="1">
      <alignment/>
    </xf>
    <xf numFmtId="178" fontId="9" fillId="0" borderId="33" xfId="0" applyNumberFormat="1" applyFont="1" applyFill="1" applyBorder="1" applyAlignment="1">
      <alignment/>
    </xf>
    <xf numFmtId="178" fontId="0" fillId="0" borderId="33" xfId="0" applyNumberFormat="1" applyFill="1" applyBorder="1" applyAlignment="1">
      <alignment/>
    </xf>
    <xf numFmtId="46" fontId="0" fillId="0" borderId="0" xfId="0" applyNumberFormat="1" applyAlignment="1">
      <alignment horizontal="left"/>
    </xf>
    <xf numFmtId="0" fontId="9" fillId="4" borderId="33" xfId="0" applyFont="1" applyFill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18" fillId="4" borderId="38" xfId="0" applyFont="1" applyFill="1" applyBorder="1" applyAlignment="1">
      <alignment horizontal="left"/>
    </xf>
    <xf numFmtId="0" fontId="18" fillId="4" borderId="39" xfId="0" applyFont="1" applyFill="1" applyBorder="1" applyAlignment="1">
      <alignment horizontal="left"/>
    </xf>
    <xf numFmtId="0" fontId="18" fillId="4" borderId="39" xfId="0" applyFont="1" applyFill="1" applyBorder="1" applyAlignment="1">
      <alignment/>
    </xf>
    <xf numFmtId="178" fontId="9" fillId="0" borderId="40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0" fillId="21" borderId="41" xfId="0" applyFill="1" applyBorder="1" applyAlignment="1">
      <alignment/>
    </xf>
    <xf numFmtId="0" fontId="7" fillId="21" borderId="42" xfId="0" applyFont="1" applyFill="1" applyBorder="1" applyAlignment="1">
      <alignment horizontal="left"/>
    </xf>
    <xf numFmtId="0" fontId="9" fillId="21" borderId="43" xfId="0" applyFont="1" applyFill="1" applyBorder="1" applyAlignment="1">
      <alignment horizontal="center"/>
    </xf>
    <xf numFmtId="178" fontId="9" fillId="0" borderId="30" xfId="0" applyNumberFormat="1" applyFont="1" applyBorder="1" applyAlignment="1">
      <alignment horizontal="center"/>
    </xf>
    <xf numFmtId="178" fontId="9" fillId="0" borderId="31" xfId="0" applyNumberFormat="1" applyFont="1" applyBorder="1" applyAlignment="1">
      <alignment horizontal="center"/>
    </xf>
    <xf numFmtId="178" fontId="9" fillId="21" borderId="31" xfId="0" applyNumberFormat="1" applyFont="1" applyFill="1" applyBorder="1" applyAlignment="1">
      <alignment horizontal="center"/>
    </xf>
    <xf numFmtId="178" fontId="9" fillId="21" borderId="32" xfId="0" applyNumberFormat="1" applyFont="1" applyFill="1" applyBorder="1" applyAlignment="1">
      <alignment horizontal="center"/>
    </xf>
    <xf numFmtId="0" fontId="7" fillId="21" borderId="44" xfId="0" applyFont="1" applyFill="1" applyBorder="1" applyAlignment="1">
      <alignment horizontal="left"/>
    </xf>
    <xf numFmtId="0" fontId="9" fillId="21" borderId="1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78" fontId="9" fillId="0" borderId="32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78" fontId="9" fillId="0" borderId="31" xfId="0" applyNumberFormat="1" applyFont="1" applyFill="1" applyBorder="1" applyAlignment="1">
      <alignment horizontal="center"/>
    </xf>
    <xf numFmtId="178" fontId="9" fillId="0" borderId="32" xfId="0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3" xfId="0" applyFill="1" applyBorder="1" applyAlignment="1">
      <alignment/>
    </xf>
    <xf numFmtId="0" fontId="0" fillId="4" borderId="47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4" borderId="0" xfId="0" applyFill="1" applyBorder="1" applyAlignment="1">
      <alignment/>
    </xf>
    <xf numFmtId="178" fontId="0" fillId="0" borderId="48" xfId="0" applyNumberFormat="1" applyBorder="1" applyAlignment="1">
      <alignment horizontal="center" wrapText="1"/>
    </xf>
    <xf numFmtId="178" fontId="9" fillId="0" borderId="0" xfId="0" applyNumberFormat="1" applyFont="1" applyBorder="1" applyAlignment="1">
      <alignment horizontal="center"/>
    </xf>
    <xf numFmtId="46" fontId="9" fillId="0" borderId="29" xfId="0" applyNumberFormat="1" applyFont="1" applyBorder="1" applyAlignment="1">
      <alignment horizontal="center" vertical="top" wrapText="1"/>
    </xf>
    <xf numFmtId="46" fontId="0" fillId="0" borderId="19" xfId="0" applyNumberFormat="1" applyBorder="1" applyAlignment="1">
      <alignment/>
    </xf>
    <xf numFmtId="46" fontId="0" fillId="0" borderId="11" xfId="0" applyNumberFormat="1" applyBorder="1" applyAlignment="1">
      <alignment/>
    </xf>
    <xf numFmtId="46" fontId="9" fillId="21" borderId="11" xfId="0" applyNumberFormat="1" applyFont="1" applyFill="1" applyBorder="1" applyAlignment="1">
      <alignment horizontal="center"/>
    </xf>
    <xf numFmtId="46" fontId="9" fillId="0" borderId="11" xfId="0" applyNumberFormat="1" applyFont="1" applyBorder="1" applyAlignment="1">
      <alignment horizontal="center"/>
    </xf>
    <xf numFmtId="46" fontId="9" fillId="21" borderId="14" xfId="0" applyNumberFormat="1" applyFont="1" applyFill="1" applyBorder="1" applyAlignment="1">
      <alignment horizontal="center"/>
    </xf>
    <xf numFmtId="46" fontId="9" fillId="0" borderId="40" xfId="0" applyNumberFormat="1" applyFont="1" applyBorder="1" applyAlignment="1">
      <alignment horizontal="center"/>
    </xf>
    <xf numFmtId="46" fontId="9" fillId="0" borderId="0" xfId="0" applyNumberFormat="1" applyFont="1" applyAlignment="1">
      <alignment horizontal="center"/>
    </xf>
    <xf numFmtId="46" fontId="9" fillId="0" borderId="19" xfId="0" applyNumberFormat="1" applyFont="1" applyBorder="1" applyAlignment="1">
      <alignment horizontal="center"/>
    </xf>
    <xf numFmtId="46" fontId="9" fillId="0" borderId="29" xfId="0" applyNumberFormat="1" applyFont="1" applyBorder="1" applyAlignment="1">
      <alignment horizontal="center"/>
    </xf>
    <xf numFmtId="46" fontId="9" fillId="0" borderId="30" xfId="0" applyNumberFormat="1" applyFont="1" applyBorder="1" applyAlignment="1">
      <alignment horizontal="center"/>
    </xf>
    <xf numFmtId="46" fontId="9" fillId="0" borderId="31" xfId="0" applyNumberFormat="1" applyFont="1" applyBorder="1" applyAlignment="1">
      <alignment horizontal="center"/>
    </xf>
    <xf numFmtId="46" fontId="9" fillId="21" borderId="31" xfId="0" applyNumberFormat="1" applyFont="1" applyFill="1" applyBorder="1" applyAlignment="1">
      <alignment horizontal="center"/>
    </xf>
    <xf numFmtId="46" fontId="9" fillId="0" borderId="31" xfId="0" applyNumberFormat="1" applyFont="1" applyFill="1" applyBorder="1" applyAlignment="1">
      <alignment horizontal="center"/>
    </xf>
    <xf numFmtId="46" fontId="9" fillId="0" borderId="32" xfId="0" applyNumberFormat="1" applyFont="1" applyFill="1" applyBorder="1" applyAlignment="1">
      <alignment horizontal="center"/>
    </xf>
    <xf numFmtId="46" fontId="9" fillId="0" borderId="32" xfId="0" applyNumberFormat="1" applyFont="1" applyBorder="1" applyAlignment="1">
      <alignment horizontal="center"/>
    </xf>
    <xf numFmtId="46" fontId="9" fillId="21" borderId="32" xfId="0" applyNumberFormat="1" applyFont="1" applyFill="1" applyBorder="1" applyAlignment="1">
      <alignment horizontal="center"/>
    </xf>
    <xf numFmtId="46" fontId="7" fillId="0" borderId="0" xfId="0" applyNumberFormat="1" applyFont="1" applyBorder="1" applyAlignment="1">
      <alignment/>
    </xf>
    <xf numFmtId="46" fontId="4" fillId="0" borderId="0" xfId="0" applyNumberFormat="1" applyFont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15" fillId="0" borderId="0" xfId="45" applyAlignment="1" applyProtection="1">
      <alignment/>
      <protection/>
    </xf>
    <xf numFmtId="0" fontId="15" fillId="0" borderId="10" xfId="45" applyBorder="1" applyAlignment="1" applyProtection="1">
      <alignment/>
      <protection/>
    </xf>
    <xf numFmtId="0" fontId="15" fillId="21" borderId="10" xfId="45" applyFill="1" applyBorder="1" applyAlignment="1" applyProtection="1">
      <alignment/>
      <protection/>
    </xf>
    <xf numFmtId="0" fontId="15" fillId="21" borderId="13" xfId="45" applyFill="1" applyBorder="1" applyAlignment="1" applyProtection="1">
      <alignment/>
      <protection/>
    </xf>
    <xf numFmtId="0" fontId="15" fillId="0" borderId="10" xfId="45" applyFill="1" applyBorder="1" applyAlignment="1" applyProtection="1">
      <alignment/>
      <protection/>
    </xf>
    <xf numFmtId="0" fontId="15" fillId="0" borderId="13" xfId="45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/>
    </xf>
    <xf numFmtId="0" fontId="9" fillId="0" borderId="33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0" fillId="0" borderId="33" xfId="0" applyFill="1" applyBorder="1" applyAlignment="1">
      <alignment horizontal="left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45" xfId="0" applyFont="1" applyBorder="1" applyAlignment="1">
      <alignment horizontal="left"/>
    </xf>
    <xf numFmtId="0" fontId="0" fillId="0" borderId="45" xfId="0" applyBorder="1" applyAlignment="1">
      <alignment horizontal="left"/>
    </xf>
    <xf numFmtId="46" fontId="9" fillId="0" borderId="49" xfId="0" applyNumberFormat="1" applyFont="1" applyBorder="1" applyAlignment="1">
      <alignment horizontal="center"/>
    </xf>
    <xf numFmtId="46" fontId="9" fillId="0" borderId="50" xfId="0" applyNumberFormat="1" applyFont="1" applyBorder="1" applyAlignment="1">
      <alignment horizontal="left"/>
    </xf>
    <xf numFmtId="46" fontId="0" fillId="0" borderId="50" xfId="0" applyNumberFormat="1" applyBorder="1" applyAlignment="1">
      <alignment horizontal="left"/>
    </xf>
    <xf numFmtId="46" fontId="0" fillId="0" borderId="51" xfId="0" applyNumberFormat="1" applyBorder="1" applyAlignment="1">
      <alignment horizontal="left"/>
    </xf>
    <xf numFmtId="46" fontId="9" fillId="0" borderId="52" xfId="0" applyNumberFormat="1" applyFont="1" applyFill="1" applyBorder="1" applyAlignment="1">
      <alignment/>
    </xf>
    <xf numFmtId="178" fontId="9" fillId="0" borderId="53" xfId="0" applyNumberFormat="1" applyFont="1" applyFill="1" applyBorder="1" applyAlignment="1">
      <alignment/>
    </xf>
    <xf numFmtId="46" fontId="0" fillId="0" borderId="52" xfId="0" applyNumberFormat="1" applyFill="1" applyBorder="1" applyAlignment="1">
      <alignment/>
    </xf>
    <xf numFmtId="178" fontId="0" fillId="0" borderId="53" xfId="0" applyNumberFormat="1" applyFill="1" applyBorder="1" applyAlignment="1">
      <alignment/>
    </xf>
    <xf numFmtId="46" fontId="0" fillId="0" borderId="52" xfId="0" applyNumberFormat="1" applyBorder="1" applyAlignment="1">
      <alignment/>
    </xf>
    <xf numFmtId="46" fontId="0" fillId="0" borderId="54" xfId="0" applyNumberFormat="1" applyBorder="1" applyAlignment="1">
      <alignment/>
    </xf>
    <xf numFmtId="178" fontId="0" fillId="0" borderId="55" xfId="0" applyNumberFormat="1" applyFill="1" applyBorder="1" applyAlignment="1">
      <alignment/>
    </xf>
    <xf numFmtId="46" fontId="9" fillId="0" borderId="0" xfId="0" applyNumberFormat="1" applyFont="1" applyBorder="1" applyAlignment="1">
      <alignment horizontal="center"/>
    </xf>
    <xf numFmtId="0" fontId="15" fillId="0" borderId="0" xfId="45" applyAlignment="1" applyProtection="1">
      <alignment horizontal="center"/>
      <protection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179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4" borderId="0" xfId="0" applyFont="1" applyFill="1" applyAlignment="1">
      <alignment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178" fontId="22" fillId="0" borderId="0" xfId="0" applyNumberFormat="1" applyFont="1" applyBorder="1" applyAlignment="1">
      <alignment horizontal="left"/>
    </xf>
    <xf numFmtId="0" fontId="0" fillId="21" borderId="0" xfId="0" applyFill="1" applyBorder="1" applyAlignment="1">
      <alignment/>
    </xf>
    <xf numFmtId="176" fontId="14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5" fillId="0" borderId="0" xfId="45" applyBorder="1" applyAlignment="1" applyProtection="1">
      <alignment/>
      <protection/>
    </xf>
    <xf numFmtId="0" fontId="15" fillId="21" borderId="0" xfId="45" applyFill="1" applyBorder="1" applyAlignment="1" applyProtection="1">
      <alignment/>
      <protection/>
    </xf>
    <xf numFmtId="0" fontId="0" fillId="21" borderId="56" xfId="0" applyFill="1" applyBorder="1" applyAlignment="1">
      <alignment/>
    </xf>
    <xf numFmtId="0" fontId="6" fillId="0" borderId="57" xfId="0" applyFont="1" applyBorder="1" applyAlignment="1">
      <alignment horizontal="center"/>
    </xf>
    <xf numFmtId="0" fontId="7" fillId="0" borderId="57" xfId="0" applyFont="1" applyBorder="1" applyAlignment="1">
      <alignment horizontal="right"/>
    </xf>
    <xf numFmtId="0" fontId="15" fillId="0" borderId="29" xfId="45" applyBorder="1" applyAlignment="1" applyProtection="1">
      <alignment/>
      <protection/>
    </xf>
    <xf numFmtId="0" fontId="6" fillId="21" borderId="57" xfId="0" applyFont="1" applyFill="1" applyBorder="1" applyAlignment="1">
      <alignment horizontal="center"/>
    </xf>
    <xf numFmtId="0" fontId="0" fillId="21" borderId="29" xfId="0" applyFill="1" applyBorder="1" applyAlignment="1">
      <alignment/>
    </xf>
    <xf numFmtId="0" fontId="7" fillId="0" borderId="57" xfId="0" applyFont="1" applyBorder="1" applyAlignment="1">
      <alignment horizontal="left"/>
    </xf>
    <xf numFmtId="0" fontId="7" fillId="21" borderId="57" xfId="0" applyFont="1" applyFill="1" applyBorder="1" applyAlignment="1">
      <alignment horizontal="left"/>
    </xf>
    <xf numFmtId="0" fontId="15" fillId="21" borderId="29" xfId="45" applyFill="1" applyBorder="1" applyAlignment="1" applyProtection="1">
      <alignment/>
      <protection/>
    </xf>
    <xf numFmtId="0" fontId="7" fillId="21" borderId="58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15" fillId="0" borderId="29" xfId="45" applyFill="1" applyBorder="1" applyAlignment="1" applyProtection="1">
      <alignment/>
      <protection/>
    </xf>
    <xf numFmtId="0" fontId="7" fillId="0" borderId="58" xfId="0" applyFont="1" applyFill="1" applyBorder="1" applyAlignment="1">
      <alignment horizontal="left"/>
    </xf>
    <xf numFmtId="0" fontId="23" fillId="24" borderId="59" xfId="0" applyFont="1" applyFill="1" applyBorder="1" applyAlignment="1">
      <alignment horizontal="center"/>
    </xf>
    <xf numFmtId="0" fontId="0" fillId="24" borderId="60" xfId="0" applyFont="1" applyFill="1" applyBorder="1" applyAlignment="1">
      <alignment/>
    </xf>
    <xf numFmtId="0" fontId="0" fillId="24" borderId="60" xfId="0" applyFont="1" applyFill="1" applyBorder="1" applyAlignment="1">
      <alignment vertical="center"/>
    </xf>
    <xf numFmtId="0" fontId="22" fillId="24" borderId="60" xfId="0" applyFont="1" applyFill="1" applyBorder="1" applyAlignment="1">
      <alignment horizontal="center" vertical="center"/>
    </xf>
    <xf numFmtId="0" fontId="0" fillId="24" borderId="61" xfId="0" applyFont="1" applyFill="1" applyBorder="1" applyAlignment="1">
      <alignment vertical="center"/>
    </xf>
    <xf numFmtId="178" fontId="0" fillId="22" borderId="0" xfId="0" applyNumberFormat="1" applyFill="1" applyAlignment="1">
      <alignment/>
    </xf>
    <xf numFmtId="0" fontId="24" fillId="22" borderId="0" xfId="0" applyFont="1" applyFill="1" applyAlignment="1">
      <alignment vertical="center"/>
    </xf>
    <xf numFmtId="0" fontId="12" fillId="0" borderId="28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12" fillId="0" borderId="26" xfId="0" applyFont="1" applyBorder="1" applyAlignment="1">
      <alignment/>
    </xf>
    <xf numFmtId="0" fontId="3" fillId="0" borderId="26" xfId="0" applyFont="1" applyFill="1" applyBorder="1" applyAlignment="1">
      <alignment horizontal="left"/>
    </xf>
    <xf numFmtId="0" fontId="0" fillId="0" borderId="29" xfId="45" applyFont="1" applyBorder="1" applyAlignment="1" applyProtection="1">
      <alignment/>
      <protection/>
    </xf>
    <xf numFmtId="178" fontId="0" fillId="0" borderId="40" xfId="0" applyNumberFormat="1" applyBorder="1" applyAlignment="1">
      <alignment horizontal="center" wrapText="1"/>
    </xf>
    <xf numFmtId="178" fontId="0" fillId="0" borderId="48" xfId="0" applyNumberFormat="1" applyBorder="1" applyAlignment="1">
      <alignment horizontal="center" wrapText="1"/>
    </xf>
    <xf numFmtId="178" fontId="0" fillId="0" borderId="34" xfId="0" applyNumberFormat="1" applyBorder="1" applyAlignment="1">
      <alignment horizontal="center" wrapText="1"/>
    </xf>
    <xf numFmtId="175" fontId="14" fillId="0" borderId="40" xfId="0" applyNumberFormat="1" applyFont="1" applyBorder="1" applyAlignment="1">
      <alignment horizontal="center"/>
    </xf>
    <xf numFmtId="175" fontId="14" fillId="0" borderId="48" xfId="0" applyNumberFormat="1" applyFont="1" applyBorder="1" applyAlignment="1">
      <alignment horizontal="center"/>
    </xf>
    <xf numFmtId="175" fontId="14" fillId="0" borderId="34" xfId="0" applyNumberFormat="1" applyFont="1" applyBorder="1" applyAlignment="1">
      <alignment horizontal="center"/>
    </xf>
    <xf numFmtId="46" fontId="9" fillId="0" borderId="62" xfId="0" applyNumberFormat="1" applyFont="1" applyBorder="1" applyAlignment="1">
      <alignment horizontal="center"/>
    </xf>
    <xf numFmtId="46" fontId="9" fillId="0" borderId="63" xfId="0" applyNumberFormat="1" applyFont="1" applyBorder="1" applyAlignment="1">
      <alignment horizontal="center"/>
    </xf>
    <xf numFmtId="0" fontId="15" fillId="0" borderId="0" xfId="45" applyAlignment="1" applyProtection="1">
      <alignment horizontal="center"/>
      <protection/>
    </xf>
    <xf numFmtId="0" fontId="21" fillId="0" borderId="40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9" fontId="0" fillId="0" borderId="40" xfId="0" applyNumberFormat="1" applyBorder="1" applyAlignment="1">
      <alignment horizontal="center"/>
    </xf>
    <xf numFmtId="179" fontId="0" fillId="0" borderId="34" xfId="0" applyNumberForma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7">
    <dxf>
      <fill>
        <patternFill>
          <bgColor indexed="10"/>
        </patternFill>
      </fill>
    </dxf>
    <dxf>
      <font>
        <color indexed="9"/>
      </font>
    </dxf>
    <dxf>
      <font>
        <color indexed="14"/>
      </font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10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 patternType="gray0625"/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l650.free.fr/photos/pbsoluces/loic-plaquettes.html" TargetMode="External" /><Relationship Id="rId2" Type="http://schemas.openxmlformats.org/officeDocument/2006/relationships/hyperlink" Target="http://dl650.free.fr/photos/pbsoluces/Ludo-tuto-fourche.html" TargetMode="External" /><Relationship Id="rId3" Type="http://schemas.openxmlformats.org/officeDocument/2006/relationships/hyperlink" Target="http://dl650.free.fr/pbsoluces-entretien.html#calages" TargetMode="External" /><Relationship Id="rId4" Type="http://schemas.openxmlformats.org/officeDocument/2006/relationships/hyperlink" Target="http://dl650.free.fr/pbsoluces-entretien.html#calages" TargetMode="External" /><Relationship Id="rId5" Type="http://schemas.openxmlformats.org/officeDocument/2006/relationships/hyperlink" Target="http://dl650.free.fr/photos/pbsoluces/jolijumper-res.html" TargetMode="External" /><Relationship Id="rId6" Type="http://schemas.openxmlformats.org/officeDocument/2006/relationships/hyperlink" Target="http://dl650.free.fr/faq.html#pneusdorigine" TargetMode="External" /><Relationship Id="rId7" Type="http://schemas.openxmlformats.org/officeDocument/2006/relationships/hyperlink" Target="http://dl650.free.fr/faq.html#psb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showGridLines="0" tabSelected="1" zoomScalePageLayoutView="0" workbookViewId="0" topLeftCell="A1">
      <pane xSplit="3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8" sqref="N18"/>
    </sheetView>
  </sheetViews>
  <sheetFormatPr defaultColWidth="11.421875" defaultRowHeight="12.75" outlineLevelCol="1"/>
  <cols>
    <col min="1" max="1" width="32.421875" style="0" bestFit="1" customWidth="1"/>
    <col min="2" max="2" width="2.421875" style="0" bestFit="1" customWidth="1"/>
    <col min="3" max="3" width="15.140625" style="0" customWidth="1"/>
    <col min="4" max="4" width="5.7109375" style="0" hidden="1" customWidth="1" outlineLevel="1"/>
    <col min="5" max="5" width="5.00390625" style="0" hidden="1" customWidth="1" outlineLevel="1"/>
    <col min="6" max="8" width="6.00390625" style="0" hidden="1" customWidth="1" outlineLevel="1"/>
    <col min="9" max="9" width="13.140625" style="0" customWidth="1" collapsed="1"/>
    <col min="10" max="10" width="12.00390625" style="77" bestFit="1" customWidth="1"/>
    <col min="11" max="11" width="8.140625" style="77" bestFit="1" customWidth="1"/>
    <col min="12" max="12" width="9.57421875" style="77" bestFit="1" customWidth="1"/>
    <col min="13" max="13" width="1.1484375" style="77" customWidth="1"/>
    <col min="14" max="14" width="11.28125" style="77" customWidth="1"/>
    <col min="15" max="15" width="10.00390625" style="72" bestFit="1" customWidth="1"/>
    <col min="16" max="16" width="16.7109375" style="0" customWidth="1"/>
    <col min="17" max="17" width="0.5625" style="0" customWidth="1"/>
    <col min="18" max="18" width="49.140625" style="0" customWidth="1"/>
    <col min="19" max="19" width="3.00390625" style="0" customWidth="1"/>
  </cols>
  <sheetData>
    <row r="1" spans="1:18" ht="25.5" thickTop="1">
      <c r="A1" s="34" t="s">
        <v>52</v>
      </c>
      <c r="B1" s="34"/>
      <c r="C1" s="2" t="s">
        <v>22</v>
      </c>
      <c r="I1" s="223" t="s">
        <v>284</v>
      </c>
      <c r="J1" s="222"/>
      <c r="K1" s="222"/>
      <c r="L1" s="222"/>
      <c r="P1" s="46">
        <f ca="1">TODAY()</f>
        <v>40221</v>
      </c>
      <c r="R1" s="217" t="s">
        <v>251</v>
      </c>
    </row>
    <row r="2" spans="1:18" ht="11.25" customHeight="1" thickBot="1">
      <c r="A2" s="34"/>
      <c r="B2" s="34"/>
      <c r="C2" s="2"/>
      <c r="D2" s="1"/>
      <c r="R2" s="220" t="s">
        <v>253</v>
      </c>
    </row>
    <row r="3" spans="1:18" ht="27" thickBot="1">
      <c r="A3" s="75">
        <v>2004</v>
      </c>
      <c r="B3" s="200"/>
      <c r="C3" s="2"/>
      <c r="D3" s="1"/>
      <c r="I3" s="232">
        <v>12000</v>
      </c>
      <c r="J3" s="233"/>
      <c r="K3" s="233"/>
      <c r="L3" s="234"/>
      <c r="N3" s="77" t="s">
        <v>246</v>
      </c>
      <c r="O3" s="90">
        <v>55</v>
      </c>
      <c r="R3" s="218" t="s">
        <v>255</v>
      </c>
    </row>
    <row r="4" ht="13.5" customHeight="1">
      <c r="R4" s="219" t="s">
        <v>256</v>
      </c>
    </row>
    <row r="5" spans="3:18" ht="13.5" thickBot="1">
      <c r="C5" s="6"/>
      <c r="L5"/>
      <c r="M5"/>
      <c r="N5"/>
      <c r="R5" s="221" t="s">
        <v>252</v>
      </c>
    </row>
    <row r="6" spans="1:16" ht="27" customHeight="1" thickBot="1" thickTop="1">
      <c r="A6" s="197" t="s">
        <v>0</v>
      </c>
      <c r="B6" s="197"/>
      <c r="C6" s="195"/>
      <c r="D6" s="195"/>
      <c r="E6" s="195"/>
      <c r="F6" s="195"/>
      <c r="G6" s="195"/>
      <c r="H6" s="195"/>
      <c r="I6" s="196" t="s">
        <v>248</v>
      </c>
      <c r="J6" s="229" t="s">
        <v>236</v>
      </c>
      <c r="K6" s="230"/>
      <c r="L6" s="231"/>
      <c r="M6" s="134"/>
      <c r="N6" s="229" t="s">
        <v>237</v>
      </c>
      <c r="O6" s="231"/>
      <c r="P6" s="46"/>
    </row>
    <row r="7" spans="1:18" ht="26.25" thickBot="1">
      <c r="A7" s="156" t="s">
        <v>65</v>
      </c>
      <c r="B7" s="156" t="s">
        <v>250</v>
      </c>
      <c r="C7" s="155" t="s">
        <v>27</v>
      </c>
      <c r="D7" s="186">
        <v>1000</v>
      </c>
      <c r="E7" s="187">
        <v>6000</v>
      </c>
      <c r="F7" s="187">
        <v>12000</v>
      </c>
      <c r="G7" s="187">
        <v>18000</v>
      </c>
      <c r="H7" s="188">
        <v>24000</v>
      </c>
      <c r="I7" s="57" t="str">
        <f>CONCATENATE(I3," ","KM")</f>
        <v>12000 KM</v>
      </c>
      <c r="J7" s="78" t="s">
        <v>193</v>
      </c>
      <c r="K7" s="78" t="s">
        <v>194</v>
      </c>
      <c r="L7" s="78" t="s">
        <v>72</v>
      </c>
      <c r="M7" s="78"/>
      <c r="N7" s="78" t="s">
        <v>193</v>
      </c>
      <c r="O7" s="136" t="s">
        <v>194</v>
      </c>
      <c r="P7" s="155" t="s">
        <v>25</v>
      </c>
      <c r="R7" s="4" t="s">
        <v>59</v>
      </c>
    </row>
    <row r="8" spans="1:18" ht="15.75">
      <c r="A8" s="8" t="s">
        <v>1</v>
      </c>
      <c r="B8" s="201"/>
      <c r="C8" s="28"/>
      <c r="D8" s="28"/>
      <c r="E8" s="28"/>
      <c r="F8" s="28"/>
      <c r="G8" s="28"/>
      <c r="H8" s="28"/>
      <c r="I8" s="58"/>
      <c r="J8" s="79"/>
      <c r="K8" s="79"/>
      <c r="L8" s="79"/>
      <c r="M8" s="79"/>
      <c r="N8" s="79"/>
      <c r="O8" s="137"/>
      <c r="P8" s="29"/>
      <c r="Q8" s="47"/>
      <c r="R8" s="48"/>
    </row>
    <row r="9" spans="1:18" ht="12.75">
      <c r="A9" s="5"/>
      <c r="B9" s="6"/>
      <c r="C9" s="30"/>
      <c r="D9" s="6"/>
      <c r="E9" s="6"/>
      <c r="F9" s="6"/>
      <c r="G9" s="6"/>
      <c r="H9" s="6"/>
      <c r="I9" s="59"/>
      <c r="J9" s="80"/>
      <c r="K9" s="80"/>
      <c r="L9" s="80"/>
      <c r="M9" s="80"/>
      <c r="N9" s="80"/>
      <c r="O9" s="138"/>
      <c r="P9" s="7"/>
      <c r="Q9" s="5"/>
      <c r="R9" s="49"/>
    </row>
    <row r="10" spans="1:18" ht="15.75" customHeight="1">
      <c r="A10" s="74" t="s">
        <v>20</v>
      </c>
      <c r="B10" s="74"/>
      <c r="C10" s="39" t="s">
        <v>39</v>
      </c>
      <c r="D10" s="40" t="str">
        <f>IF(ISERR(DGET(Base_Entretien,"1000",Contrôle_Niveau_Huile)),"",DGET(Base_Entretien,"1000",Contrôle_Niveau_Huile))</f>
        <v>I</v>
      </c>
      <c r="E10" s="40" t="str">
        <f>IF(ISERR(DGET(Base_Entretien,"6000",Contrôle_Niveau_Huile)),"",DGET(Base_Entretien,"6000",Contrôle_Niveau_Huile))</f>
        <v>I</v>
      </c>
      <c r="F10" s="40" t="str">
        <f>IF(ISERR(DGET(Base_Entretien,"12000",Contrôle_Niveau_Huile)),"",DGET(Base_Entretien,"12000",Contrôle_Niveau_Huile))</f>
        <v>I</v>
      </c>
      <c r="G10" s="40" t="str">
        <f>IF(ISERR(DGET(Base_Entretien,"18000",Contrôle_Niveau_Huile)),"",DGET(Base_Entretien,"18000",Contrôle_Niveau_Huile))</f>
        <v>I</v>
      </c>
      <c r="H10" s="40" t="str">
        <f>IF(ISERR(DGET(Base_Entretien,"24000",Contrôle_Niveau_Huile)),"",DGET(Base_Entretien,"24000",Contrôle_Niveau_Huile))</f>
        <v>I</v>
      </c>
      <c r="I10" s="60" t="str">
        <f>IF(ISERR(DGET(Base_Entretien,TEXT(KM_Liste_Déroulante,0),Contrôle_Niveau_Huile)),"",DGET(Base_Entretien,TEXT(KM_Liste_Déroulante,0),Contrôle_Niveau_Huile))</f>
        <v>I</v>
      </c>
      <c r="J10" s="81">
        <f>IF(LEN(H10)=0,"",DSUM(Base_Fourniture,"Total Cons",Contrôle_Niveau_Huile_Année_I))</f>
        <v>0</v>
      </c>
      <c r="K10" s="81">
        <f>IF(LEN(I10)=0,"",DSUM(Base_Opération,"Prix MO Conc",Contrôle_Niveau_Huile_Année_I))</f>
        <v>4.583333333333333</v>
      </c>
      <c r="L10" s="81">
        <f>IF(LEN(I10)=0,"",DSUM(Base_Fourniture,"Total Cons",Contrôle_Niveau_Huile_Année_I)+DSUM(Base_Opération,"Prix MO Conc",Contrôle_Niveau_Huile_Année_I))</f>
        <v>4.583333333333333</v>
      </c>
      <c r="M10" s="81"/>
      <c r="N10" s="81">
        <f>IF(LEN(K10)=0,"",DSUM(Base_Fourniture,"Total Acc",Contrôle_Niveau_Huile_Année_I))</f>
        <v>0</v>
      </c>
      <c r="O10" s="139">
        <f>IF(LEN(L10)=0,"",DSUM(Base_Opération,"MO Stromeurs",Contrôle_Niveau_Huile_Année_I))</f>
        <v>0.003472222222222222</v>
      </c>
      <c r="P10" s="11" t="s">
        <v>28</v>
      </c>
      <c r="Q10" s="5"/>
      <c r="R10" s="49"/>
    </row>
    <row r="11" spans="1:18" ht="15.75" customHeight="1">
      <c r="A11" t="s">
        <v>2</v>
      </c>
      <c r="C11" s="19" t="s">
        <v>40</v>
      </c>
      <c r="D11" s="41" t="str">
        <f>IF(ISERR(DGET(Base_Entretien,"1000",Vidange_Huile)),"",DGET(Base_Entretien,"1000",Vidange_Huile))</f>
        <v>R</v>
      </c>
      <c r="E11" s="41" t="str">
        <f>IF(ISERR(DGET(Base_Entretien,"6000",Vidange_Huile)),"",DGET(Base_Entretien,"6000",Vidange_Huile))</f>
        <v>R</v>
      </c>
      <c r="F11" s="41" t="str">
        <f>IF(ISERR(DGET(Base_Entretien,"12000",Vidange_Huile)),"",DGET(Base_Entretien,"12000",Vidange_Huile))</f>
        <v>R</v>
      </c>
      <c r="G11" s="41" t="str">
        <f>IF(ISERR(DGET(Base_Entretien,"18000",Vidange_Huile)),"",DGET(Base_Entretien,"18000",Vidange_Huile))</f>
        <v>R</v>
      </c>
      <c r="H11" s="41" t="str">
        <f>IF(ISERR(DGET(Base_Entretien,"24000",Vidange_Huile)),"",DGET(Base_Entretien,"24000",Vidange_Huile))</f>
        <v>R</v>
      </c>
      <c r="I11" s="61" t="str">
        <f>IF(ISERR(DGET(Base_Entretien,TEXT(KM_Liste_Déroulante,0),Vidange_Huile)),"",DGET(Base_Entretien,TEXT(KM_Liste_Déroulante,0),Vidange_Huile))</f>
        <v>R</v>
      </c>
      <c r="J11" s="82">
        <f>IF(LEN($I11)=0,"",DSUM(Base_Fourniture,"Total Cons",Vidange_Huile_Année_I))</f>
        <v>43.17559999999999</v>
      </c>
      <c r="K11" s="82">
        <f>IF(LEN($I11)=0,"",DSUM(Base_Opération,"Prix MO Conc",Vidange_Huile_Année_I))</f>
        <v>9.166666666666666</v>
      </c>
      <c r="L11" s="82">
        <f>IF(LEN($I11)=0,"",DSUM(Base_Fourniture,"Total Cons",Vidange_Huile_Année_I)+DSUM(Base_Opération,"Prix MO Conc",Vidange_Huile_Année_I))</f>
        <v>52.34226666666665</v>
      </c>
      <c r="M11" s="82"/>
      <c r="N11" s="82">
        <f>IF(LEN($I11)=0,"",DSUM(Base_Fourniture,"Total Acc",Vidange_Huile_Année_I))</f>
        <v>14.84</v>
      </c>
      <c r="O11" s="140">
        <f>IF(LEN($I11)=0,"",DSUM(Base_Opération,"MO Stromeurs",Vidange_Huile_Année_I))</f>
        <v>0.013888888888888888</v>
      </c>
      <c r="P11" s="12"/>
      <c r="Q11" s="5"/>
      <c r="R11" s="49"/>
    </row>
    <row r="12" spans="1:18" ht="15.75" customHeight="1">
      <c r="A12" s="9" t="s">
        <v>3</v>
      </c>
      <c r="B12" s="199"/>
      <c r="C12" s="26" t="s">
        <v>40</v>
      </c>
      <c r="D12" s="40" t="str">
        <f>IF(ISERR(DGET(Base_Entretien,"1000",Filtre_Huile)),"",DGET(Base_Entretien,"1000",Filtre_Huile))</f>
        <v>R</v>
      </c>
      <c r="E12" s="40">
        <f>IF(ISERR(DGET(Base_Entretien,"6000",Filtre_Huile)),"",DGET(Base_Entretien,"6000",Filtre_Huile))</f>
      </c>
      <c r="F12" s="40">
        <f>IF(ISERR(DGET(Base_Entretien,"12000",Filtre_Huile)),"",DGET(Base_Entretien,"12000",Filtre_Huile))</f>
      </c>
      <c r="G12" s="40" t="str">
        <f>IF(ISERR(DGET(Base_Entretien,"18000",Filtre_Huile)),"",DGET(Base_Entretien,"18000",Filtre_Huile))</f>
        <v>R</v>
      </c>
      <c r="H12" s="40">
        <f>IF(ISERR(DGET(Base_Entretien,"24000",Filtre_Huile)),"",DGET(Base_Entretien,"24000",Filtre_Huile))</f>
      </c>
      <c r="I12" s="60">
        <f>IF(ISERR(DGET(Base_Entretien,TEXT(KM_Liste_Déroulante,0),Filtre_Huile)),"",DGET(Base_Entretien,TEXT(KM_Liste_Déroulante,0),Filtre_Huile))</f>
      </c>
      <c r="J12" s="81">
        <f>IF(LEN($I12)=0,"",DSUM(Base_Fourniture,"Total Cons",Filtre_Huile_Année_I))</f>
      </c>
      <c r="K12" s="81">
        <f>IF(LEN($I12)=0,"",DSUM(Base_Opération,"Prix MO Conc",Filtre_Huile_Année_I))</f>
      </c>
      <c r="L12" s="81">
        <f>IF(LEN($I12)=0,"",DSUM(Base_Fourniture,"Total Cons",Filtre_Huile_Année_I)+DSUM(Base_Opération,"Prix MO Conc",Filtre_Huile_Année_I))</f>
      </c>
      <c r="M12" s="81"/>
      <c r="N12" s="81">
        <f>IF(LEN($I12)=0,"",DSUM(Base_Fourniture,"Total Acc",Filtre_Huile_Année_I))</f>
      </c>
      <c r="O12" s="139">
        <f>IF(LEN($I12)=0,"",DSUM(Base_Opération,"MO Stromeurs",Filtre_Huile_Année_I))</f>
      </c>
      <c r="P12" s="11"/>
      <c r="Q12" s="5"/>
      <c r="R12" s="49"/>
    </row>
    <row r="13" spans="1:18" ht="15.75" customHeight="1">
      <c r="A13" s="158" t="s">
        <v>19</v>
      </c>
      <c r="B13" s="202"/>
      <c r="C13" s="19" t="s">
        <v>40</v>
      </c>
      <c r="D13" s="41">
        <f>IF(ISERR(DGET(Base_Entretien,"1000",Nettoyage_Filtre_Air)),"",DGET(Base_Entretien,"1000",Nettoyage_Filtre_Air))</f>
      </c>
      <c r="E13" s="41" t="str">
        <f>IF(ISERR(DGET(Base_Entretien,"6000",Nettoyage_Filtre_Air)),"",DGET(Base_Entretien,"6000",Nettoyage_Filtre_Air))</f>
        <v>I</v>
      </c>
      <c r="F13" s="41" t="str">
        <f>IF(ISERR(DGET(Base_Entretien,"12000",Nettoyage_Filtre_Air)),"",DGET(Base_Entretien,"12000",Nettoyage_Filtre_Air))</f>
        <v>I</v>
      </c>
      <c r="G13" s="41" t="str">
        <f>IF(ISERR(DGET(Base_Entretien,"18000",Nettoyage_Filtre_Air)),"",DGET(Base_Entretien,"18000",Nettoyage_Filtre_Air))</f>
        <v>R</v>
      </c>
      <c r="H13" s="41" t="str">
        <f>IF(ISERR(DGET(Base_Entretien,"24000",Nettoyage_Filtre_Air)),"",DGET(Base_Entretien,"24000",Nettoyage_Filtre_Air))</f>
        <v>I</v>
      </c>
      <c r="I13" s="61" t="str">
        <f>IF(ISERR(DGET(Base_Entretien,TEXT(KM_Liste_Déroulante,0),Nettoyage_Filtre_Air)),"",DGET(Base_Entretien,TEXT(KM_Liste_Déroulante,0),Nettoyage_Filtre_Air))</f>
        <v>I</v>
      </c>
      <c r="J13" s="82">
        <f>IF(LEN($I13)=0,"",DSUM(Base_Fourniture,"Total Cons",Nettoyage_Filtre_Air_Année_I))</f>
        <v>0</v>
      </c>
      <c r="K13" s="82">
        <f>IF(LEN($I13)=0,"",DSUM(Base_Opération,"Prix MO Conc",Nettoyage_Filtre_Air_Année_I))</f>
        <v>0</v>
      </c>
      <c r="L13" s="82">
        <f>IF(LEN($I13)=0,"",DSUM(Base_Fourniture,"Total Cons",Nettoyage_Filtre_Air_Année_I)+DSUM(Base_Opération,"Prix MO Conc",Nettoyage_Filtre_Air_Année_I))</f>
        <v>0</v>
      </c>
      <c r="M13" s="82"/>
      <c r="N13" s="82">
        <f>IF(LEN($I13)=0,"",DSUM(Base_Fourniture,"Total Acc",Nettoyage_Filtre_Air_Année_I))</f>
        <v>0</v>
      </c>
      <c r="O13" s="140">
        <f>IF(LEN($I13)=0,"",DSUM(Base_Opération,"MO Stromeurs",Nettoyage_Filtre_Air_Année_I))</f>
        <v>0</v>
      </c>
      <c r="P13" s="12"/>
      <c r="Q13" s="5"/>
      <c r="R13" s="49"/>
    </row>
    <row r="14" spans="1:18" ht="15.75" customHeight="1">
      <c r="A14" s="159" t="s">
        <v>4</v>
      </c>
      <c r="B14" s="203"/>
      <c r="C14" s="24" t="s">
        <v>39</v>
      </c>
      <c r="D14" s="40" t="str">
        <f>IF(ISERR(DGET(Base_Entretien,"1000",Régime_Ralenti)),"",DGET(Base_Entretien,"1000",Régime_Ralenti))</f>
        <v>I</v>
      </c>
      <c r="E14" s="40" t="str">
        <f>IF(ISERR(DGET(Base_Entretien,"6000",Régime_Ralenti)),"",DGET(Base_Entretien,"6000",Régime_Ralenti))</f>
        <v>I</v>
      </c>
      <c r="F14" s="40" t="str">
        <f>IF(ISERR(DGET(Base_Entretien,"12000",Régime_Ralenti)),"",DGET(Base_Entretien,"12000",Régime_Ralenti))</f>
        <v>I</v>
      </c>
      <c r="G14" s="40" t="str">
        <f>IF(ISERR(DGET(Base_Entretien,"18000",Régime_Ralenti)),"",DGET(Base_Entretien,"18000",Régime_Ralenti))</f>
        <v>I</v>
      </c>
      <c r="H14" s="40" t="str">
        <f>IF(ISERR(DGET(Base_Entretien,"24000",Régime_Ralenti)),"",DGET(Base_Entretien,"24000",Régime_Ralenti))</f>
        <v>I</v>
      </c>
      <c r="I14" s="60" t="str">
        <f>IF(ISERR(DGET(Base_Entretien,TEXT(KM_Liste_Déroulante,0),Régime_Ralenti)),"",DGET(Base_Entretien,TEXT(KM_Liste_Déroulante,0),Régime_Ralenti))</f>
        <v>I</v>
      </c>
      <c r="J14" s="81">
        <f>IF(LEN($I14)=0,"",DSUM(Base_Fourniture,"Total Cons",Régime_Ralenti_Année_I))</f>
        <v>0</v>
      </c>
      <c r="K14" s="81">
        <f>IF(LEN($I14)=0,"",DSUM(Base_Opération,"Prix MO Conc",Régime_Ralenti_Année_I))</f>
        <v>4.583333333333333</v>
      </c>
      <c r="L14" s="81">
        <f>IF(LEN($I14)=0,"",DSUM(Base_Fourniture,"Total Cons",Régime_Ralenti_Année_I)+DSUM(Base_Opération,"Prix MO Conc",Régime_Ralenti_Année_I))</f>
        <v>4.583333333333333</v>
      </c>
      <c r="M14" s="81"/>
      <c r="N14" s="81">
        <f>IF(LEN($I14)=0,"",DSUM(Base_Fourniture,"Total Acc",Régime_Ralenti_Année_I))</f>
        <v>0</v>
      </c>
      <c r="O14" s="139">
        <f>IF(LEN($I14)=0,"",DSUM(Base_Opération,"MO Stromeurs",Régime_Ralenti_Année_I))</f>
        <v>0.003472222222222222</v>
      </c>
      <c r="P14" s="11" t="s">
        <v>36</v>
      </c>
      <c r="Q14" s="5"/>
      <c r="R14" s="54" t="s">
        <v>103</v>
      </c>
    </row>
    <row r="15" spans="1:18" ht="15.75" customHeight="1">
      <c r="A15" s="5" t="s">
        <v>5</v>
      </c>
      <c r="B15" s="6"/>
      <c r="C15" s="20" t="s">
        <v>39</v>
      </c>
      <c r="D15" s="41" t="str">
        <f>IF(ISERR(DGET(Base_Entretien,"1000",Jeu_câbles_Gaz)),"",DGET(Base_Entretien,"1000",Jeu_câbles_Gaz))</f>
        <v>I</v>
      </c>
      <c r="E15" s="41" t="str">
        <f>IF(ISERR(DGET(Base_Entretien,"6000",Jeu_câbles_Gaz)),"",DGET(Base_Entretien,"6000",Jeu_câbles_Gaz))</f>
        <v>I</v>
      </c>
      <c r="F15" s="41" t="str">
        <f>IF(ISERR(DGET(Base_Entretien,"12000",Jeu_câbles_Gaz)),"",DGET(Base_Entretien,"12000",Jeu_câbles_Gaz))</f>
        <v>I</v>
      </c>
      <c r="G15" s="41" t="str">
        <f>IF(ISERR(DGET(Base_Entretien,"18000",Jeu_câbles_Gaz)),"",DGET(Base_Entretien,"18000",Jeu_câbles_Gaz))</f>
        <v>I</v>
      </c>
      <c r="H15" s="41" t="str">
        <f>IF(ISERR(DGET(Base_Entretien,"24000",Jeu_câbles_Gaz)),"",DGET(Base_Entretien,"24000",Jeu_câbles_Gaz))</f>
        <v>I</v>
      </c>
      <c r="I15" s="61" t="str">
        <f>IF(ISERR(DGET(Base_Entretien,TEXT(KM_Liste_Déroulante,0),Jeu_câbles_Gaz)),"",DGET(Base_Entretien,TEXT(KM_Liste_Déroulante,0),Jeu_câbles_Gaz))</f>
        <v>I</v>
      </c>
      <c r="J15" s="82">
        <f>IF(LEN($I15)=0,"",DSUM(Base_Fourniture,"Total Cons",Jeu_câbles_Gaz_Année_I))</f>
        <v>0</v>
      </c>
      <c r="K15" s="82">
        <f>IF(LEN($I15)=0,"",DSUM(Base_Opération,"Prix MO Conc",Jeu_câbles_Gaz_Année_I))</f>
        <v>4.583333333333333</v>
      </c>
      <c r="L15" s="82">
        <f>IF(LEN($I15)=0,"",DSUM(Base_Fourniture,"Total Cons",Jeu_câbles_Gaz_Année_I)+DSUM(Base_Opération,"Prix MO Conc",Jeu_câbles_Gaz_Année_I))</f>
        <v>4.583333333333333</v>
      </c>
      <c r="M15" s="82"/>
      <c r="N15" s="82">
        <f>IF(LEN($I15)=0,"",DSUM(Base_Fourniture,"Total Acc",Jeu_câbles_Gaz_Année_I))</f>
        <v>0</v>
      </c>
      <c r="O15" s="140">
        <f>IF(LEN($I15)=0,"",DSUM(Base_Opération,"MO Stromeurs",Jeu_câbles_Gaz_Année_I))</f>
        <v>0.003472222222222222</v>
      </c>
      <c r="P15" s="12"/>
      <c r="Q15" s="5"/>
      <c r="R15" s="49"/>
    </row>
    <row r="16" spans="1:18" ht="15.75" customHeight="1">
      <c r="A16" s="9" t="s">
        <v>6</v>
      </c>
      <c r="B16" s="199"/>
      <c r="C16" s="25" t="s">
        <v>41</v>
      </c>
      <c r="D16" s="40">
        <f>IF(ISERR(DGET(Base_Entretien,"1000",Synchronisation_Papillons)),"",DGET(Base_Entretien,"1000",Synchronisation_Papillons))</f>
      </c>
      <c r="E16" s="40">
        <f>IF(ISERR(DGET(Base_Entretien,"6000",Synchronisation_Papillons)),"",DGET(Base_Entretien,"6000",Synchronisation_Papillons))</f>
      </c>
      <c r="F16" s="40" t="str">
        <f>IF(ISERR(DGET(Base_Entretien,"12000",Synchronisation_Papillons)),"",DGET(Base_Entretien,"12000",Synchronisation_Papillons))</f>
        <v>I</v>
      </c>
      <c r="G16" s="40">
        <f>IF(ISERR(DGET(Base_Entretien,"18000",Synchronisation_Papillons)),"",DGET(Base_Entretien,"18000",Synchronisation_Papillons))</f>
      </c>
      <c r="H16" s="40" t="str">
        <f>IF(ISERR(DGET(Base_Entretien,"24000",Synchronisation_Papillons)),"",DGET(Base_Entretien,"24000",Synchronisation_Papillons))</f>
        <v>I</v>
      </c>
      <c r="I16" s="60" t="str">
        <f>IF(ISERR(DGET(Base_Entretien,TEXT(KM_Liste_Déroulante,0),Synchronisation_Papillons)),"",DGET(Base_Entretien,TEXT(KM_Liste_Déroulante,0),Synchronisation_Papillons))</f>
        <v>I</v>
      </c>
      <c r="J16" s="81">
        <f>IF(LEN($I16)=0,"",DSUM(Base_Fourniture,"Total Cons",Synchronisation_Papillons_Année_I))</f>
        <v>0</v>
      </c>
      <c r="K16" s="81">
        <f>IF(LEN($I16)=0,"",DSUM(Base_Opération,"Prix MO Conc",Synchronisation_Papillons_Année_I))</f>
        <v>0</v>
      </c>
      <c r="L16" s="81">
        <f>IF(LEN($I16)=0,"",DSUM(Base_Fourniture,"Total Cons",Synchronisation_Papillons_Année_I)+DSUM(Base_Opération,"Prix MO Conc",Synchronisation_Papillons_Année_I))</f>
        <v>0</v>
      </c>
      <c r="M16" s="81"/>
      <c r="N16" s="81">
        <f>IF(LEN($I16)=0,"",DSUM(Base_Fourniture,"Total Acc",Synchronisation_Papillons_Année_I))</f>
        <v>0</v>
      </c>
      <c r="O16" s="139">
        <f>IF(LEN($I16)=0,"",DSUM(Base_Opération,"MO Stromeurs",Synchronisation_Papillons_Année_I))</f>
        <v>0</v>
      </c>
      <c r="P16" s="11"/>
      <c r="Q16" s="5"/>
      <c r="R16" s="49"/>
    </row>
    <row r="17" spans="1:18" ht="15.75" customHeight="1">
      <c r="A17" s="5" t="s">
        <v>7</v>
      </c>
      <c r="B17" s="6"/>
      <c r="C17" s="19" t="s">
        <v>40</v>
      </c>
      <c r="D17" s="41">
        <f>IF(ISERR(DGET(Base_Entretien,"1000",Système_PAIR)),"",DGET(Base_Entretien,"1000",Système_PAIR))</f>
      </c>
      <c r="E17" s="41">
        <f>IF(ISERR(DGET(Base_Entretien,"6000",Système_PAIR)),"",DGET(Base_Entretien,"6000",Système_PAIR))</f>
      </c>
      <c r="F17" s="41" t="str">
        <f>IF(ISERR(DGET(Base_Entretien,"12000",Système_PAIR)),"",DGET(Base_Entretien,"12000",Système_PAIR))</f>
        <v>I</v>
      </c>
      <c r="G17" s="41">
        <f>IF(ISERR(DGET(Base_Entretien,"18000",Système_PAIR)),"",DGET(Base_Entretien,"18000",Système_PAIR))</f>
      </c>
      <c r="H17" s="41" t="str">
        <f>IF(ISERR(DGET(Base_Entretien,"24000",Système_PAIR)),"",DGET(Base_Entretien,"24000",Système_PAIR))</f>
        <v>I</v>
      </c>
      <c r="I17" s="61" t="str">
        <f>IF(ISERR(DGET(Base_Entretien,TEXT(KM_Liste_Déroulante,0),Système_PAIR)),"",DGET(Base_Entretien,TEXT(KM_Liste_Déroulante,0),Système_PAIR))</f>
        <v>I</v>
      </c>
      <c r="J17" s="82">
        <f>IF(LEN($I17)=0,"",DSUM(Base_Fourniture,"Total Cons",Système_PAIR_Année_I))</f>
        <v>0</v>
      </c>
      <c r="K17" s="82">
        <f>IF(LEN($I17)=0,"",DSUM(Base_Opération,"Prix MO Conc",Système_PAIR_Année_I))</f>
        <v>0</v>
      </c>
      <c r="L17" s="82">
        <f>IF(LEN($I17)=0,"",DSUM(Base_Fourniture,"Total Cons",Système_PAIR_Année_I)+DSUM(Base_Opération,"Prix MO Conc",Système_PAIR_Année_I))</f>
        <v>0</v>
      </c>
      <c r="M17" s="82"/>
      <c r="N17" s="82">
        <f>IF(LEN($I17)=0,"",DSUM(Base_Fourniture,"Total Acc",Système_PAIR_Année_I))</f>
        <v>0</v>
      </c>
      <c r="O17" s="140">
        <f>IF(LEN($I17)=0,"",DSUM(Base_Opération,"MO Stromeurs",Système_PAIR_Année_I))</f>
        <v>0</v>
      </c>
      <c r="P17" s="12"/>
      <c r="Q17" s="5"/>
      <c r="R17" s="49"/>
    </row>
    <row r="18" spans="1:18" ht="15.75" customHeight="1" thickBot="1">
      <c r="A18" s="9" t="s">
        <v>8</v>
      </c>
      <c r="B18" s="199"/>
      <c r="C18" s="24" t="s">
        <v>39</v>
      </c>
      <c r="D18" s="40">
        <f>IF(ISERR(DGET(Base_Entretien,"1000",Bougies)),"",DGET(Base_Entretien,"1000",Bougies))</f>
      </c>
      <c r="E18" s="40" t="str">
        <f>IF(ISERR(DGET(Base_Entretien,"6000",Bougies)),"",DGET(Base_Entretien,"6000",Bougies))</f>
        <v>I</v>
      </c>
      <c r="F18" s="40" t="str">
        <f>IF(ISERR(DGET(Base_Entretien,"12000",Bougies)),"",DGET(Base_Entretien,"12000",Bougies))</f>
        <v>R</v>
      </c>
      <c r="G18" s="40" t="str">
        <f>IF(ISERR(DGET(Base_Entretien,"18000",Bougies)),"",DGET(Base_Entretien,"18000",Bougies))</f>
        <v>I</v>
      </c>
      <c r="H18" s="40" t="str">
        <f>IF(ISERR(DGET(Base_Entretien,"24000",Bougies)),"",DGET(Base_Entretien,"24000",Bougies))</f>
        <v>R</v>
      </c>
      <c r="I18" s="60" t="str">
        <f>IF(ISERR(DGET(Base_Entretien,TEXT(KM_Liste_Déroulante,0),Bougies)),"",DGET(Base_Entretien,TEXT(KM_Liste_Déroulante,0),Bougies))</f>
        <v>R</v>
      </c>
      <c r="J18" s="81">
        <f>IF(LEN($I18)=0,"",DSUM(Base_Fourniture,"Total Cons",Bougies_Année_I))</f>
        <v>19.99712</v>
      </c>
      <c r="K18" s="81">
        <f>IF(LEN($I18)=0,"",DSUM(Base_Opération,"Prix MO Conc",Bougies_Année_I))</f>
        <v>18.333333333333332</v>
      </c>
      <c r="L18" s="81">
        <f>IF(LEN($I18)=0,"",DSUM(Base_Fourniture,"Total Cons",Bougies_Année_I)+DSUM(Base_Opération,"Prix MO Conc",Bougies_Année_I))</f>
        <v>38.33045333333333</v>
      </c>
      <c r="M18" s="81"/>
      <c r="N18" s="81">
        <f>IF(LEN($I18)=0,"",DSUM(Base_Fourniture,"Total Acc",Bougies_Année_I))</f>
        <v>18</v>
      </c>
      <c r="O18" s="139">
        <f>IF(LEN($I18)=0,"",DSUM(Base_Opération,"MO Stromeurs",Bougies_Année_I))</f>
        <v>0.020833333333333332</v>
      </c>
      <c r="P18" s="11"/>
      <c r="Q18" s="5"/>
      <c r="R18" s="54" t="s">
        <v>55</v>
      </c>
    </row>
    <row r="19" spans="1:18" ht="15.75" customHeight="1" thickBot="1">
      <c r="A19" s="5" t="s">
        <v>21</v>
      </c>
      <c r="B19" s="156"/>
      <c r="C19" s="205" t="s">
        <v>40</v>
      </c>
      <c r="D19" s="41">
        <f>IF(ISERR(DGET(Base_Entretien,"1000",Vidange_Liquide_Refroidissement)),"",DGET(Base_Entretien,"1000",Vidange_Liquide_Refroidissement))</f>
      </c>
      <c r="E19" s="41">
        <f>IF(ISERR(DGET(Base_Entretien,"6000",Vidange_Liquide_Refroidissement)),"",DGET(Base_Entretien,"6000",Vidange_Liquide_Refroidissement))</f>
      </c>
      <c r="F19" s="41">
        <f>IF(ISERR(DGET(Base_Entretien,"12000",Vidange_Liquide_Refroidissement)),"",DGET(Base_Entretien,"12000",Vidange_Liquide_Refroidissement))</f>
      </c>
      <c r="G19" s="41">
        <f>IF(ISERR(DGET(Base_Entretien,"18000",Vidange_Liquide_Refroidissement)),"",DGET(Base_Entretien,"18000",Vidange_Liquide_Refroidissement))</f>
      </c>
      <c r="H19" s="41">
        <f>IF(ISERR(DGET(Base_Entretien,"24000",Vidange_Liquide_Refroidissement)),"",DGET(Base_Entretien,"24000",Vidange_Liquide_Refroidissement))</f>
      </c>
      <c r="I19" s="61">
        <f>IF(ISTEXT(B19),B19,IF(ISERR(DGET(Base_Entretien,TEXT(KM_Liste_Déroulante,0),Vidange_Liquide_Refroidissement)),"",DGET(Base_Entretien,TEXT(KM_Liste_Déroulante,0),Vidange_Liquide_Refroidissement)))</f>
      </c>
      <c r="J19" s="82">
        <f>IF(LEN($I19)=0,"",DSUM(Base_Fourniture,"Total Cons",Vidange_Liquide_Refroidissement_Année_I))</f>
      </c>
      <c r="K19" s="82">
        <f>IF(LEN($I19)=0,"",DSUM(Base_Opération,"Prix MO Conc",Vidange_Liquide_Refroidissement_Année_I))</f>
      </c>
      <c r="L19" s="82">
        <f>IF(LEN($I19)=0,"",DSUM(Base_Fourniture,"Total Cons",Vidange_Liquide_Refroidissement_Année_I)+DSUM(Base_Opération,"Prix MO Conc",Vidange_Liquide_Refroidissement_Année_I))</f>
      </c>
      <c r="M19" s="82"/>
      <c r="N19" s="82">
        <f>IF(LEN($I19)=0,"",DSUM(Base_Fourniture,"Total Acc",Vidange_Liquide_Refroidissement_Année_I))</f>
      </c>
      <c r="O19" s="140">
        <f>IF(LEN($I19)=0,"",DSUM(Base_Opération,"MO Stromeurs",Vidange_Liquide_Refroidissement_Année_I))</f>
      </c>
      <c r="P19" s="12" t="s">
        <v>29</v>
      </c>
      <c r="Q19" s="5"/>
      <c r="R19" s="226" t="s">
        <v>258</v>
      </c>
    </row>
    <row r="20" spans="1:18" ht="15.75" customHeight="1">
      <c r="A20" s="9" t="s">
        <v>9</v>
      </c>
      <c r="B20" s="199"/>
      <c r="C20" s="24" t="s">
        <v>39</v>
      </c>
      <c r="D20" s="40">
        <f>IF(ISERR(DGET(Base_Entretien,"1000",Durit_Radiateur)),"",DGET(Base_Entretien,"1000",Durit_Radiateur))</f>
      </c>
      <c r="E20" s="40" t="str">
        <f>IF(ISERR(DGET(Base_Entretien,"6000",Durit_Radiateur)),"",DGET(Base_Entretien,"6000",Durit_Radiateur))</f>
        <v>I</v>
      </c>
      <c r="F20" s="40" t="str">
        <f>IF(ISERR(DGET(Base_Entretien,"12000",Durit_Radiateur)),"",DGET(Base_Entretien,"12000",Durit_Radiateur))</f>
        <v>I</v>
      </c>
      <c r="G20" s="40" t="str">
        <f>IF(ISERR(DGET(Base_Entretien,"18000",Durit_Radiateur)),"",DGET(Base_Entretien,"18000",Durit_Radiateur))</f>
        <v>I</v>
      </c>
      <c r="H20" s="40" t="str">
        <f>IF(ISERR(DGET(Base_Entretien,"24000",Durit_Radiateur)),"",DGET(Base_Entretien,"24000",Durit_Radiateur))</f>
        <v>I</v>
      </c>
      <c r="I20" s="60" t="str">
        <f>IF(ISERR(DGET(Base_Entretien,TEXT(KM_Liste_Déroulante,0),Durit_Radiateur)),"",DGET(Base_Entretien,TEXT(KM_Liste_Déroulante,0),Durit_Radiateur))</f>
        <v>I</v>
      </c>
      <c r="J20" s="81">
        <f>IF(LEN($I20)=0,"",DSUM(Base_Fourniture,"Total Cons",Durit_Radiateur_Année_I))</f>
        <v>0</v>
      </c>
      <c r="K20" s="81">
        <f>IF(LEN($I20)=0,"",DSUM(Base_Opération,"Prix MO Conc",Durit_Radiateur_Année_I))</f>
        <v>4.583333333333333</v>
      </c>
      <c r="L20" s="81">
        <f>IF(LEN($I20)=0,"",DSUM(Base_Fourniture,"Total Cons",Durit_Radiateur_Année_I)+DSUM(Base_Opération,"Prix MO Conc",Durit_Radiateur_Année_I))</f>
        <v>4.583333333333333</v>
      </c>
      <c r="M20" s="81"/>
      <c r="N20" s="81">
        <f>IF(LEN($I20)=0,"",DSUM(Base_Fourniture,"Total Acc",Durit_Radiateur_Année_I))</f>
        <v>0</v>
      </c>
      <c r="O20" s="139">
        <f>IF(LEN($I20)=0,"",DSUM(Base_Opération,"MO Stromeurs",Durit_Radiateur_Année_I))</f>
        <v>0.003472222222222222</v>
      </c>
      <c r="P20" s="11"/>
      <c r="Q20" s="5"/>
      <c r="R20" s="49"/>
    </row>
    <row r="21" spans="1:18" ht="15.75" customHeight="1" thickBot="1">
      <c r="A21" s="5" t="s">
        <v>10</v>
      </c>
      <c r="B21" s="6"/>
      <c r="C21" s="21" t="s">
        <v>41</v>
      </c>
      <c r="D21" s="41">
        <f>IF(ISERR(DGET(Base_Entretien,"1000",Jeu_Soupapes)),"",DGET(Base_Entretien,"1000",Jeu_Soupapes))</f>
      </c>
      <c r="E21" s="41">
        <f>IF(ISERR(DGET(Base_Entretien,"6000",Jeu_Soupapes)),"",DGET(Base_Entretien,"6000",Jeu_Soupapes))</f>
      </c>
      <c r="F21" s="41">
        <f>IF(ISERR(DGET(Base_Entretien,"12000",Jeu_Soupapes)),"",DGET(Base_Entretien,"12000",Jeu_Soupapes))</f>
      </c>
      <c r="G21" s="41">
        <f>IF(ISERR(DGET(Base_Entretien,"18000",Jeu_Soupapes)),"",DGET(Base_Entretien,"18000",Jeu_Soupapes))</f>
      </c>
      <c r="H21" s="41" t="str">
        <f>IF(ISERR(DGET(Base_Entretien,"24000",Jeu_Soupapes)),"",DGET(Base_Entretien,"24000",Jeu_Soupapes))</f>
        <v>I</v>
      </c>
      <c r="I21" s="61">
        <f>IF(ISERR(DGET(Base_Entretien,TEXT(KM_Liste_Déroulante,0),Jeu_Soupapes)),"",DGET(Base_Entretien,TEXT(KM_Liste_Déroulante,0),Jeu_Soupapes))</f>
      </c>
      <c r="J21" s="82">
        <f>IF(LEN($I21)=0,"",DSUM(Base_Fourniture,"Total Cons",Jeu_Soupapes_Année_I))</f>
      </c>
      <c r="K21" s="82">
        <f>IF(LEN($I21)=0,"",DSUM(Base_Opération,"Prix MO Conc",Jeu_Soupapes_Année_I))</f>
      </c>
      <c r="L21" s="82">
        <f>IF(LEN($I21)=0,"",DSUM(Base_Fourniture,"Total Cons",Jeu_Soupapes_Année_I)+DSUM(Base_Opération,"Prix MO Conc",Jeu_Soupapes_Année_I))</f>
      </c>
      <c r="M21" s="82"/>
      <c r="N21" s="82">
        <f>IF(LEN($I21)=0,"",DSUM(Base_Fourniture,"Total Acc",Jeu_Soupapes_Année_I))</f>
      </c>
      <c r="O21" s="140">
        <f>IF(LEN($I21)=0,"",DSUM(Base_Opération,"MO Stromeurs",Jeu_Soupapes_Année_I))</f>
      </c>
      <c r="P21" s="12"/>
      <c r="Q21" s="5"/>
      <c r="R21" s="49"/>
    </row>
    <row r="22" spans="1:18" ht="15.75" customHeight="1" thickBot="1">
      <c r="A22" s="10" t="s">
        <v>11</v>
      </c>
      <c r="B22" s="209"/>
      <c r="C22" s="211" t="s">
        <v>39</v>
      </c>
      <c r="D22" s="42">
        <f>IF(ISERR(DGET(Base_Entretien,"1000",Garde_Embrayage)),"",DGET(Base_Entretien,"1000",Garde_Embrayage))</f>
      </c>
      <c r="E22" s="42" t="str">
        <f>IF(ISERR(DGET(Base_Entretien,"6000",Garde_Embrayage)),"",DGET(Base_Entretien,"6000",Garde_Embrayage))</f>
        <v>I</v>
      </c>
      <c r="F22" s="42" t="str">
        <f>IF(ISERR(DGET(Base_Entretien,"12000",Garde_Embrayage)),"",DGET(Base_Entretien,"12000",Garde_Embrayage))</f>
        <v>I</v>
      </c>
      <c r="G22" s="42" t="str">
        <f>IF(ISERR(DGET(Base_Entretien,"18000",Garde_Embrayage)),"",DGET(Base_Entretien,"18000",Garde_Embrayage))</f>
        <v>I</v>
      </c>
      <c r="H22" s="42" t="str">
        <f>IF(ISERR(DGET(Base_Entretien,"24000",Garde_Embrayage)),"",DGET(Base_Entretien,"24000",Garde_Embrayage))</f>
        <v>I</v>
      </c>
      <c r="I22" s="62" t="str">
        <f>IF(ISTEXT(B22),B22,IF(ISERR(DGET(Base_Entretien,TEXT(KM_Liste_Déroulante,0),Garde_Embrayage)),"",DGET(Base_Entretien,TEXT(KM_Liste_Déroulante,0),Garde_Embrayage)))</f>
        <v>I</v>
      </c>
      <c r="J22" s="83">
        <f>IF(LEN($I22)=0,"",DSUM(Base_Fourniture,"Total Cons",Garde_Embrayage_Année_I))</f>
        <v>0</v>
      </c>
      <c r="K22" s="83">
        <f>IF(LEN($I22)=0,"",DSUM(Base_Opération,"Prix MO Conc",Garde_Embrayage_Année_I))</f>
        <v>4.583333333333333</v>
      </c>
      <c r="L22" s="83">
        <f>IF(LEN($I22)=0,"",DSUM(Base_Fourniture,"Total Cons",Garde_Embrayage_Année_I)+DSUM(Base_Opération,"Prix MO Conc",Garde_Embrayage_Année_I))</f>
        <v>4.583333333333333</v>
      </c>
      <c r="M22" s="83"/>
      <c r="N22" s="83">
        <f>IF(LEN($I22)=0,"",DSUM(Base_Fourniture,"Total Acc",Garde_Embrayage_Année_I))</f>
        <v>0</v>
      </c>
      <c r="O22" s="141">
        <f>IF(LEN($I22)=0,"",DSUM(Base_Opération,"MO Stromeurs",Garde_Embrayage_Année_I))</f>
        <v>0.010416666666666666</v>
      </c>
      <c r="P22" s="13"/>
      <c r="Q22" s="50"/>
      <c r="R22" s="51"/>
    </row>
    <row r="23" spans="1:18" ht="13.5" thickBot="1">
      <c r="A23" s="6"/>
      <c r="B23" s="6"/>
      <c r="C23" s="15"/>
      <c r="D23" s="41"/>
      <c r="E23" s="41"/>
      <c r="F23" s="41"/>
      <c r="G23" s="41"/>
      <c r="H23" s="41"/>
      <c r="I23" s="41"/>
      <c r="J23" s="106">
        <f>SUM(J10:J22)</f>
        <v>63.172719999999984</v>
      </c>
      <c r="K23" s="106">
        <f>SUM(K10:K22)</f>
        <v>50.41666666666667</v>
      </c>
      <c r="L23" s="90">
        <f>SUM(L9:L22)</f>
        <v>113.58938666666666</v>
      </c>
      <c r="M23" s="106"/>
      <c r="N23" s="106">
        <f>SUM(N10:N22)</f>
        <v>32.84</v>
      </c>
      <c r="O23" s="145">
        <f>SUM(O10:O22)</f>
        <v>0.05902777777777778</v>
      </c>
      <c r="P23" s="6"/>
      <c r="R23" s="38"/>
    </row>
    <row r="24" spans="3:18" ht="13.5" thickBot="1">
      <c r="C24" s="3"/>
      <c r="D24" s="43"/>
      <c r="E24" s="43"/>
      <c r="F24" s="43"/>
      <c r="G24" s="43"/>
      <c r="H24" s="43"/>
      <c r="I24" s="43"/>
      <c r="J24" s="84"/>
      <c r="K24" s="84"/>
      <c r="L24" s="84"/>
      <c r="M24" s="84"/>
      <c r="N24" s="84"/>
      <c r="O24" s="143"/>
      <c r="R24" s="38"/>
    </row>
    <row r="25" spans="1:18" ht="15.75">
      <c r="A25" s="8" t="s">
        <v>12</v>
      </c>
      <c r="B25" s="201"/>
      <c r="C25" s="31"/>
      <c r="D25" s="44"/>
      <c r="E25" s="44"/>
      <c r="F25" s="44"/>
      <c r="G25" s="44"/>
      <c r="H25" s="44"/>
      <c r="I25" s="63"/>
      <c r="J25" s="85"/>
      <c r="K25" s="85"/>
      <c r="L25" s="85"/>
      <c r="M25" s="85"/>
      <c r="N25" s="85"/>
      <c r="O25" s="144"/>
      <c r="P25" s="29"/>
      <c r="Q25" s="47"/>
      <c r="R25" s="52"/>
    </row>
    <row r="26" spans="1:18" ht="13.5" thickBot="1">
      <c r="A26" s="5"/>
      <c r="B26" s="6"/>
      <c r="C26" s="32"/>
      <c r="D26" s="41"/>
      <c r="E26" s="41"/>
      <c r="F26" s="41"/>
      <c r="G26" s="41"/>
      <c r="H26" s="41"/>
      <c r="I26" s="61"/>
      <c r="J26" s="82"/>
      <c r="K26" s="82"/>
      <c r="L26" s="82"/>
      <c r="M26" s="82"/>
      <c r="N26" s="82"/>
      <c r="O26" s="140"/>
      <c r="P26" s="7"/>
      <c r="Q26" s="5"/>
      <c r="R26" s="49"/>
    </row>
    <row r="27" spans="1:18" ht="15.75" customHeight="1" thickBot="1">
      <c r="A27" s="160" t="s">
        <v>13</v>
      </c>
      <c r="B27" s="212"/>
      <c r="C27" s="213" t="s">
        <v>39</v>
      </c>
      <c r="D27" s="42">
        <f>IF(ISERR(DGET(Base_Entretien,"1000",Batterie)),"",DGET(Base_Entretien,"1000",Batterie))</f>
      </c>
      <c r="E27" s="42">
        <f>IF(ISERR(DGET(Base_Entretien,"6000",Batterie)),"",DGET(Base_Entretien,"6000",Batterie))</f>
      </c>
      <c r="F27" s="42">
        <f>IF(ISERR(DGET(Base_Entretien,"12000",Batterie)),"",DGET(Base_Entretien,"12000",Batterie))</f>
      </c>
      <c r="G27" s="42">
        <f>IF(ISERR(DGET(Base_Entretien,"18000",Batterie)),"",DGET(Base_Entretien,"18000",Batterie))</f>
      </c>
      <c r="H27" s="42">
        <f>IF(ISERR(DGET(Base_Entretien,"24000",Batterie)),"",DGET(Base_Entretien,"24000",Batterie))</f>
      </c>
      <c r="I27" s="62">
        <f>IF(ISTEXT(B27),B27,IF(ISERR(DGET(Base_Entretien,TEXT(KM_Liste_Déroulante,0),Batterie)),"",DGET(Base_Entretien,TEXT(KM_Liste_Déroulante,0),Batterie)))</f>
      </c>
      <c r="J27" s="83">
        <f>IF(LEN($I27)=0,"",DSUM(Base_Fourniture,"Total Cons",Batterie_Année_I))</f>
      </c>
      <c r="K27" s="83">
        <f>IF(LEN($I27)=0,"",DSUM(Base_Opération,"Prix MO Conc",Batterie_Année_I))</f>
      </c>
      <c r="L27" s="83">
        <f>IF(LEN($I27)=0,"",DSUM(Base_Fourniture,"Total Cons",Batterie_Année_I)+DSUM(Base_Opération,"Prix MO Conc",Batterie_Année_I))</f>
      </c>
      <c r="M27" s="83"/>
      <c r="N27" s="83">
        <f>IF(LEN($I27)=0,"",DSUM(Base_Fourniture,"Total Acc",Batterie_Année_I))</f>
      </c>
      <c r="O27" s="141">
        <f>IF(LEN($I27)=0,"",DSUM(Base_Opération,"MO Stromeurs",Batterie_Année_I))</f>
      </c>
      <c r="P27" s="13" t="s">
        <v>30</v>
      </c>
      <c r="Q27" s="50"/>
      <c r="R27" s="51"/>
    </row>
    <row r="28" spans="1:18" ht="13.5" thickBot="1">
      <c r="A28" s="6"/>
      <c r="B28" s="6"/>
      <c r="C28" s="14"/>
      <c r="D28" s="41"/>
      <c r="E28" s="41"/>
      <c r="F28" s="41"/>
      <c r="G28" s="41"/>
      <c r="H28" s="41"/>
      <c r="I28" s="41"/>
      <c r="J28" s="90">
        <f>SUM(J27)</f>
        <v>0</v>
      </c>
      <c r="K28" s="90">
        <f>SUM(K27)</f>
        <v>0</v>
      </c>
      <c r="L28" s="89">
        <f>SUM(L27)</f>
        <v>0</v>
      </c>
      <c r="M28" s="89"/>
      <c r="N28" s="90">
        <f>SUM(N27)</f>
        <v>0</v>
      </c>
      <c r="O28" s="145">
        <f>SUM(O27)</f>
        <v>0</v>
      </c>
      <c r="P28" s="6"/>
      <c r="R28" s="38"/>
    </row>
    <row r="29" spans="3:18" ht="13.5" thickBot="1">
      <c r="C29" s="3"/>
      <c r="D29" s="43"/>
      <c r="E29" s="43"/>
      <c r="F29" s="43"/>
      <c r="G29" s="43"/>
      <c r="H29" s="43"/>
      <c r="I29" s="43"/>
      <c r="J29" s="84"/>
      <c r="K29" s="84"/>
      <c r="L29" s="84"/>
      <c r="M29" s="84"/>
      <c r="N29" s="84"/>
      <c r="O29" s="143"/>
      <c r="R29" s="38"/>
    </row>
    <row r="30" spans="1:18" ht="15.75">
      <c r="A30" s="8" t="s">
        <v>14</v>
      </c>
      <c r="B30" s="201"/>
      <c r="C30" s="31"/>
      <c r="D30" s="44"/>
      <c r="E30" s="44"/>
      <c r="F30" s="44"/>
      <c r="G30" s="44"/>
      <c r="H30" s="44"/>
      <c r="I30" s="63"/>
      <c r="J30" s="111"/>
      <c r="K30" s="111"/>
      <c r="L30" s="111"/>
      <c r="M30" s="111"/>
      <c r="N30" s="111"/>
      <c r="O30" s="146"/>
      <c r="P30" s="29"/>
      <c r="Q30" s="47"/>
      <c r="R30" s="52"/>
    </row>
    <row r="31" spans="1:18" ht="15.75" customHeight="1">
      <c r="A31" s="5"/>
      <c r="B31" s="6"/>
      <c r="C31" s="22"/>
      <c r="D31" s="41"/>
      <c r="E31" s="41"/>
      <c r="F31" s="41"/>
      <c r="G31" s="41"/>
      <c r="H31" s="41"/>
      <c r="I31" s="61"/>
      <c r="J31" s="112"/>
      <c r="K31" s="112"/>
      <c r="L31" s="112"/>
      <c r="M31" s="112"/>
      <c r="N31" s="112"/>
      <c r="O31" s="147"/>
      <c r="P31" s="7"/>
      <c r="Q31" s="5"/>
      <c r="R31" s="49"/>
    </row>
    <row r="32" spans="1:18" ht="15.75" customHeight="1" thickBot="1">
      <c r="A32" s="9" t="s">
        <v>15</v>
      </c>
      <c r="B32" s="199"/>
      <c r="C32" s="24" t="s">
        <v>39</v>
      </c>
      <c r="D32" s="40" t="str">
        <f>IF(ISERR(DGET(Base_Entretien,"1000",Réglage_Suspensions)),"",DGET(Base_Entretien,"1000",Réglage_Suspensions))</f>
        <v>I</v>
      </c>
      <c r="E32" s="40" t="str">
        <f>IF(ISERR(DGET(Base_Entretien,"6000",Réglage_Suspensions)),"",DGET(Base_Entretien,"6000",Réglage_Suspensions))</f>
        <v>I</v>
      </c>
      <c r="F32" s="40" t="str">
        <f>IF(ISERR(DGET(Base_Entretien,"12000",Réglage_Suspensions)),"",DGET(Base_Entretien,"12000",Réglage_Suspensions))</f>
        <v>I</v>
      </c>
      <c r="G32" s="40" t="str">
        <f>IF(ISERR(DGET(Base_Entretien,"18000",Réglage_Suspensions)),"",DGET(Base_Entretien,"18000",Réglage_Suspensions))</f>
        <v>I</v>
      </c>
      <c r="H32" s="40" t="str">
        <f>IF(ISERR(DGET(Base_Entretien,"24000",Réglage_Suspensions)),"",DGET(Base_Entretien,"24000",Réglage_Suspensions))</f>
        <v>I</v>
      </c>
      <c r="I32" s="60" t="str">
        <f>IF(ISERR(DGET(Base_Entretien,TEXT(KM_Liste_Déroulante,0),Réglage_Suspensions)),"",DGET(Base_Entretien,TEXT(KM_Liste_Déroulante,0),Réglage_Suspensions))</f>
        <v>I</v>
      </c>
      <c r="J32" s="113">
        <f>IF(LEN($I32)=0,"",DSUM(Base_Fourniture,"Total Cons",Réglage_Suspensions_Année_I))</f>
        <v>0</v>
      </c>
      <c r="K32" s="113">
        <f>IF(LEN($I32)=0,"",DSUM(Base_Opération,"Prix MO Conc",Réglage_Suspensions_Année_I))</f>
        <v>4.583333333333333</v>
      </c>
      <c r="L32" s="113">
        <f>IF(LEN($I32)=0,"",DSUM(Base_Fourniture,"Total Cons",Réglage_Suspensions_Année_I)+DSUM(Base_Opération,"Prix MO Conc",Réglage_Suspensions_Année_I))</f>
        <v>4.583333333333333</v>
      </c>
      <c r="M32" s="113"/>
      <c r="N32" s="113">
        <f>IF(LEN($I32)=0,"",DSUM(Base_Fourniture,"Total Acc",Réglage_Suspensions_Année_I))</f>
        <v>0</v>
      </c>
      <c r="O32" s="148">
        <f>IF(LEN($I32)=0,"",DSUM(Base_Opération,"MO Stromeurs",Réglage_Suspensions_Année_I))</f>
        <v>0.003472222222222222</v>
      </c>
      <c r="P32" s="23" t="s">
        <v>31</v>
      </c>
      <c r="Q32" s="5"/>
      <c r="R32" s="49"/>
    </row>
    <row r="33" spans="1:18" ht="15.75" customHeight="1" thickBot="1">
      <c r="A33" s="158" t="s">
        <v>16</v>
      </c>
      <c r="B33" s="207"/>
      <c r="C33" s="206" t="s">
        <v>41</v>
      </c>
      <c r="D33" s="41">
        <f>IF(ISERR(DGET(Base_Entretien,"1000",Vidanger_Huile_Fourche)),"",DGET(Base_Entretien,"1000",Vidanger_Huile_Fourche))</f>
      </c>
      <c r="E33" s="41">
        <f>IF(ISERR(DGET(Base_Entretien,"6000",Vidanger_Huile_Fourche)),"",DGET(Base_Entretien,"6000",Vidanger_Huile_Fourche))</f>
      </c>
      <c r="F33" s="41">
        <f>IF(ISERR(DGET(Base_Entretien,"12000",Vidanger_Huile_Fourche)),"",DGET(Base_Entretien,"12000",Vidanger_Huile_Fourche))</f>
      </c>
      <c r="G33" s="41">
        <f>IF(ISERR(DGET(Base_Entretien,"18000",Vidanger_Huile_Fourche)),"",DGET(Base_Entretien,"18000",Vidanger_Huile_Fourche))</f>
      </c>
      <c r="H33" s="41">
        <f>IF(ISERR(DGET(Base_Entretien,"24000",Vidanger_Huile_Fourche)),"",DGET(Base_Entretien,"24000",Vidanger_Huile_Fourche))</f>
      </c>
      <c r="I33" s="61">
        <f>IF(ISTEXT(B33),B33,IF(ISERR(DGET(Base_Entretien,TEXT(KM_Liste_Déroulante,0),Vidanger_Huile_Fourche)),"",DGET(Base_Entretien,TEXT(KM_Liste_Déroulante,0),Vidanger_Huile_Fourche)))</f>
      </c>
      <c r="J33" s="112">
        <f>IF(LEN($I33)=0,"",DSUM(Base_Fourniture,"Total Cons",Vidanger_Huile_Fourche_Année_I))</f>
      </c>
      <c r="K33" s="112">
        <f>IF(LEN($I33)=0,"",DSUM(Base_Opération,"Prix MO Conc",Vidanger_Huile_Fourche_Année_I))</f>
      </c>
      <c r="L33" s="112">
        <f>IF(LEN($I33)=0,"",DSUM(Base_Fourniture,"Total Cons",Vidanger_Huile_Fourche_Année_I)+DSUM(Base_Opération,"Prix MO Conc",Vidanger_Huile_Fourche_Année_I))</f>
      </c>
      <c r="M33" s="112"/>
      <c r="N33" s="112">
        <f>IF(LEN($I33)=0,"",DSUM(Base_Fourniture,"Total Acc",Vidanger_Huile_Fourche_Année_I))</f>
      </c>
      <c r="O33" s="147">
        <f>IF(LEN($I33)=0,"",DSUM(Base_Opération,"MO Stromeurs",Vidanger_Huile_Fourche_Année_I))</f>
      </c>
      <c r="P33" s="12" t="s">
        <v>29</v>
      </c>
      <c r="Q33" s="5"/>
      <c r="R33" s="227" t="s">
        <v>259</v>
      </c>
    </row>
    <row r="34" spans="1:18" ht="15.75" customHeight="1" thickBot="1">
      <c r="A34" s="9" t="s">
        <v>17</v>
      </c>
      <c r="B34" s="199"/>
      <c r="C34" s="25" t="s">
        <v>41</v>
      </c>
      <c r="D34" s="40">
        <f>IF(ISERR(DGET(Base_Entretien,"1000",Graissage_Suspension_AR)),"",DGET(Base_Entretien,"1000",Graissage_Suspension_AR))</f>
      </c>
      <c r="E34" s="40">
        <f>IF(ISERR(DGET(Base_Entretien,"6000",Graissage_Suspension_AR)),"",DGET(Base_Entretien,"6000",Graissage_Suspension_AR))</f>
      </c>
      <c r="F34" s="40" t="str">
        <f>IF(ISERR(DGET(Base_Entretien,"12000",Graissage_Suspension_AR)),"",DGET(Base_Entretien,"12000",Graissage_Suspension_AR))</f>
        <v>I</v>
      </c>
      <c r="G34" s="40">
        <f>IF(ISERR(DGET(Base_Entretien,"18000",Graissage_Suspension_AR)),"",DGET(Base_Entretien,"18000",Graissage_Suspension_AR))</f>
      </c>
      <c r="H34" s="40" t="str">
        <f>IF(ISERR(DGET(Base_Entretien,"24000",Graissage_Suspension_AR)),"",DGET(Base_Entretien,"24000",Graissage_Suspension_AR))</f>
        <v>I</v>
      </c>
      <c r="I34" s="60" t="str">
        <f>IF(ISERR(DGET(Base_Entretien,TEXT(KM_Liste_Déroulante,0),Graissage_Suspension_AR)),"",DGET(Base_Entretien,TEXT(KM_Liste_Déroulante,0),Graissage_Suspension_AR))</f>
        <v>I</v>
      </c>
      <c r="J34" s="113">
        <f>IF(LEN($I34)=0,"",DSUM(Base_Fourniture,"Total Cons",Graissage_Suspension_AR_Année_I))</f>
        <v>0</v>
      </c>
      <c r="K34" s="113">
        <f>IF(LEN($I34)=0,"",DSUM(Base_Opération,"Prix MO Conc",Graissage_Suspension_AR_Année_I))</f>
        <v>0</v>
      </c>
      <c r="L34" s="113">
        <f>IF(LEN($I34)=0,"",DSUM(Base_Fourniture,"Total Cons",Graissage_Suspension_AR_Année_I)+DSUM(Base_Opération,"Prix MO Conc",Graissage_Suspension_AR_Année_I))</f>
        <v>0</v>
      </c>
      <c r="M34" s="113"/>
      <c r="N34" s="113">
        <f>IF(LEN($I34)=0,"",DSUM(Base_Fourniture,"Total Acc",Graissage_Suspension_AR_Année_I))</f>
        <v>0</v>
      </c>
      <c r="O34" s="148">
        <f>IF(LEN($I34)=0,"",DSUM(Base_Opération,"MO Stromeurs",Graissage_Suspension_AR_Année_I))</f>
        <v>0</v>
      </c>
      <c r="P34" s="11"/>
      <c r="Q34" s="5"/>
      <c r="R34" s="49"/>
    </row>
    <row r="35" spans="1:18" ht="15.75" customHeight="1" thickBot="1">
      <c r="A35" s="5" t="s">
        <v>75</v>
      </c>
      <c r="B35" s="228"/>
      <c r="C35" s="21" t="s">
        <v>41</v>
      </c>
      <c r="D35" s="41" t="str">
        <f>IF(ISERR(DGET(Base_Entretien,"1000",Jeu_Direction)),"",DGET(Base_Entretien,"1000",Jeu_Direction))</f>
        <v>I</v>
      </c>
      <c r="E35" s="41">
        <f>IF(ISERR(DGET(Base_Entretien,"6000",Jeu_Direction)),"",DGET(Base_Entretien,"6000",Jeu_Direction))</f>
      </c>
      <c r="F35" s="41" t="str">
        <f>IF(ISERR(DGET(Base_Entretien,"12000",Jeu_Direction)),"",DGET(Base_Entretien,"12000",Jeu_Direction))</f>
        <v>I</v>
      </c>
      <c r="G35" s="41">
        <f>IF(ISERR(DGET(Base_Entretien,"18000",Jeu_Direction)),"",DGET(Base_Entretien,"18000",Jeu_Direction))</f>
      </c>
      <c r="H35" s="41" t="str">
        <f>IF(ISERR(DGET(Base_Entretien,"24000",Jeu_Direction)),"",DGET(Base_Entretien,"24000",Jeu_Direction))</f>
        <v>I</v>
      </c>
      <c r="I35" s="61" t="str">
        <f>IF(ISTEXT(B35),B35,IF(ISERR(DGET(Base_Entretien,TEXT(KM_Liste_Déroulante,0),Jeu_Direction)),"",DGET(Base_Entretien,TEXT(KM_Liste_Déroulante,0),Jeu_Direction)))</f>
        <v>I</v>
      </c>
      <c r="J35" s="112">
        <f>IF(LEN($I35)=0,"",DSUM(Base_Fourniture,"Total Cons",Jeu_Direction_Année_I))</f>
        <v>0</v>
      </c>
      <c r="K35" s="112">
        <f>IF(LEN($I35)=0,"",DSUM(Base_Opération,"Prix MO Conc",Jeu_Direction_Année_I))</f>
        <v>4.583333333333333</v>
      </c>
      <c r="L35" s="112">
        <f>IF(LEN($I35)=0,"",DSUM(Base_Fourniture,"Total Cons",Jeu_Direction_Année_I)+DSUM(Base_Opération,"Prix MO Conc",Jeu_Direction_Année_I))</f>
        <v>4.583333333333333</v>
      </c>
      <c r="M35" s="112"/>
      <c r="N35" s="112">
        <f>IF(LEN($I35)=0,"",DSUM(Base_Fourniture,"Total Acc",Jeu_Direction_Année_I))</f>
        <v>0</v>
      </c>
      <c r="O35" s="147">
        <f>IF(LEN($I35)=0,"",DSUM(Base_Opération,"MO Stromeurs",Jeu_Direction_Année_I))</f>
        <v>0.003472222222222222</v>
      </c>
      <c r="P35" s="12"/>
      <c r="Q35" s="5"/>
      <c r="R35" s="227" t="s">
        <v>281</v>
      </c>
    </row>
    <row r="36" spans="1:18" ht="15.75" customHeight="1">
      <c r="A36" s="9" t="s">
        <v>18</v>
      </c>
      <c r="B36" s="199"/>
      <c r="C36" s="25" t="s">
        <v>41</v>
      </c>
      <c r="D36" s="40">
        <f>IF(ISERR(DGET(Base_Entretien,"1000",Graissage_Direction)),"",DGET(Base_Entretien,"1000",Graissage_Direction))</f>
      </c>
      <c r="E36" s="40">
        <f>IF(ISERR(DGET(Base_Entretien,"6000",Graissage_Direction)),"",DGET(Base_Entretien,"6000",Graissage_Direction))</f>
      </c>
      <c r="F36" s="40">
        <f>IF(ISERR(DGET(Base_Entretien,"12000",Graissage_Direction)),"",DGET(Base_Entretien,"12000",Graissage_Direction))</f>
      </c>
      <c r="G36" s="40">
        <f>IF(ISERR(DGET(Base_Entretien,"18000",Graissage_Direction)),"",DGET(Base_Entretien,"18000",Graissage_Direction))</f>
      </c>
      <c r="H36" s="40">
        <f>IF(ISERR(DGET(Base_Entretien,"24000",Graissage_Direction)),"",DGET(Base_Entretien,"24000",Graissage_Direction))</f>
      </c>
      <c r="I36" s="60">
        <f>IF(ISERR(DGET(Base_Entretien,TEXT(KM_Liste_Déroulante,0),Graissage_Direction)),"",DGET(Base_Entretien,TEXT(KM_Liste_Déroulante,0),Graissage_Direction))</f>
      </c>
      <c r="J36" s="113">
        <f>IF(LEN($I36)=0,"",DSUM(Base_Fourniture,"Total Cons",Graissage_Direction_Année_I))</f>
      </c>
      <c r="K36" s="113">
        <f>IF(LEN($I36)=0,"",DSUM(Base_Opération,"Prix MO Conc",Graissage_Direction_Année_I))</f>
      </c>
      <c r="L36" s="113">
        <f>IF(LEN($I36)=0,"",DSUM(Base_Fourniture,"Total Cons",Graissage_Direction_Année_I)+DSUM(Base_Opération,"Prix MO Conc",Graissage_Direction_Année_I))</f>
      </c>
      <c r="M36" s="113"/>
      <c r="N36" s="113">
        <f>IF(LEN($I36)=0,"",DSUM(Base_Fourniture,"Total Acc",Graissage_Direction_Année_I))</f>
      </c>
      <c r="O36" s="148">
        <f>IF(LEN($I36)=0,"",DSUM(Base_Opération,"MO Stromeurs",Graissage_Direction_Année_I))</f>
      </c>
      <c r="P36" s="11"/>
      <c r="Q36" s="5"/>
      <c r="R36" s="49"/>
    </row>
    <row r="37" spans="1:18" ht="15.75" customHeight="1">
      <c r="A37" s="5" t="s">
        <v>204</v>
      </c>
      <c r="B37" s="6"/>
      <c r="C37" s="20" t="s">
        <v>39</v>
      </c>
      <c r="D37" s="41" t="str">
        <f>IF(ISERR(DGET(Base_Entretien,"1000",Niveau_Liquide_Frein_AV)),"",DGET(Base_Entretien,"1000",Niveau_Liquide_Frein_AV))</f>
        <v>I</v>
      </c>
      <c r="E37" s="41" t="str">
        <f>IF(ISERR(DGET(Base_Entretien,"6000",Niveau_Liquide_Frein_AV)),"",DGET(Base_Entretien,"6000",Niveau_Liquide_Frein_AV))</f>
        <v>I</v>
      </c>
      <c r="F37" s="41" t="str">
        <f>IF(ISERR(DGET(Base_Entretien,"12000",Niveau_Liquide_Frein_AV)),"",DGET(Base_Entretien,"12000",Niveau_Liquide_Frein_AV))</f>
        <v>I</v>
      </c>
      <c r="G37" s="41" t="str">
        <f>IF(ISERR(DGET(Base_Entretien,"18000",Niveau_Liquide_Frein_AV)),"",DGET(Base_Entretien,"18000",Niveau_Liquide_Frein_AV))</f>
        <v>I</v>
      </c>
      <c r="H37" s="41" t="str">
        <f>IF(ISERR(DGET(Base_Entretien,"24000",Niveau_Liquide_Frein_AV)),"",DGET(Base_Entretien,"24000",Niveau_Liquide_Frein_AV))</f>
        <v>I</v>
      </c>
      <c r="I37" s="61" t="str">
        <f>IF(ISERR(DGET(Base_Entretien,TEXT(KM_Liste_Déroulante,0),Niveau_Liquide_Frein_AV)),"",DGET(Base_Entretien,TEXT(KM_Liste_Déroulante,0),Niveau_Liquide_Frein_AV))</f>
        <v>I</v>
      </c>
      <c r="J37" s="112">
        <f>IF(LEN($I37)=0,"",DSUM(Base_Fourniture,"Total Cons",Niveau_Liquide_Frein_AV_Année_I))</f>
        <v>0</v>
      </c>
      <c r="K37" s="112">
        <f>IF(LEN($I37)=0,"",DSUM(Base_Opération,"Prix MO Conc",Niveau_Liquide_Frein_AV_Année_I))</f>
        <v>4.583333333333333</v>
      </c>
      <c r="L37" s="112">
        <f>IF(LEN($I37)=0,"",DSUM(Base_Fourniture,"Total Cons",Niveau_Liquide_Frein_AV_Année_I)+DSUM(Base_Opération,"Prix MO Conc",Niveau_Liquide_Frein_AV_Année_I))</f>
        <v>4.583333333333333</v>
      </c>
      <c r="M37" s="112"/>
      <c r="N37" s="112">
        <f>IF(LEN($I37)=0,"",DSUM(Base_Fourniture,"Total Acc",Niveau_Liquide_Frein_AV_Année_I))</f>
        <v>0</v>
      </c>
      <c r="O37" s="147">
        <f>IF(LEN($I37)=0,"",DSUM(Base_Opération,"MO Stromeurs",Niveau_Liquide_Frein_AV_Année_I))</f>
        <v>0.006944444444444444</v>
      </c>
      <c r="P37" s="12" t="s">
        <v>32</v>
      </c>
      <c r="Q37" s="5"/>
      <c r="R37" s="49"/>
    </row>
    <row r="38" spans="1:18" ht="15.75" customHeight="1" thickBot="1">
      <c r="A38" s="5" t="s">
        <v>205</v>
      </c>
      <c r="B38" s="6"/>
      <c r="C38" s="20" t="s">
        <v>39</v>
      </c>
      <c r="D38" s="41" t="str">
        <f>IF(ISERR(DGET(Base_Entretien,"1000",Niveau_Liquide_Frein_AR)),"",DGET(Base_Entretien,"1000",Niveau_Liquide_Frein_AR))</f>
        <v>I</v>
      </c>
      <c r="E38" s="41" t="str">
        <f>IF(ISERR(DGET(Base_Entretien,"6000",Niveau_Liquide_Frein_AR)),"",DGET(Base_Entretien,"6000",Niveau_Liquide_Frein_AR))</f>
        <v>I</v>
      </c>
      <c r="F38" s="41" t="str">
        <f>IF(ISERR(DGET(Base_Entretien,"12000",Niveau_Liquide_Frein_AR)),"",DGET(Base_Entretien,"12000",Niveau_Liquide_Frein_AR))</f>
        <v>I</v>
      </c>
      <c r="G38" s="41" t="str">
        <f>IF(ISERR(DGET(Base_Entretien,"18000",Niveau_Liquide_Frein_AR)),"",DGET(Base_Entretien,"18000",Niveau_Liquide_Frein_AR))</f>
        <v>I</v>
      </c>
      <c r="H38" s="41" t="str">
        <f>IF(ISERR(DGET(Base_Entretien,"24000",Niveau_Liquide_Frein_AR)),"",DGET(Base_Entretien,"24000",Niveau_Liquide_Frein_AR))</f>
        <v>I</v>
      </c>
      <c r="I38" s="61" t="str">
        <f>IF(ISERR(DGET(Base_Entretien,TEXT(KM_Liste_Déroulante,0),Niveau_Liquide_Frein_AR)),"",DGET(Base_Entretien,TEXT(KM_Liste_Déroulante,0),Niveau_Liquide_Frein_AR))</f>
        <v>I</v>
      </c>
      <c r="J38" s="112">
        <f>IF(LEN($I38)=0,"",DSUM(Base_Fourniture,"Total Cons",Niveau_Liquide_Frein_AR_Année_I))</f>
        <v>0</v>
      </c>
      <c r="K38" s="112">
        <f>IF(LEN($I38)=0,"",DSUM(Base_Opération,"Prix MO Conc",Niveau_Liquide_Frein_AR_Année_I))</f>
        <v>4.583333333333333</v>
      </c>
      <c r="L38" s="112">
        <f>IF(LEN($I38)=0,"",DSUM(Base_Fourniture,"Total Cons",Niveau_Liquide_Frein_AR_Année_I)+DSUM(Base_Opération,"Prix MO Conc",Niveau_Liquide_Frein_AR_Année_I))</f>
        <v>4.583333333333333</v>
      </c>
      <c r="M38" s="112"/>
      <c r="N38" s="112">
        <f>IF(LEN($I38)=0,"",DSUM(Base_Fourniture,"Total Acc",Niveau_Liquide_Frein_AR_Année_I))</f>
        <v>0</v>
      </c>
      <c r="O38" s="147">
        <f>IF(LEN($I38)=0,"",DSUM(Base_Opération,"MO Stromeurs",Niveau_Liquide_Frein_AR_Année_I))</f>
        <v>0.006944444444444444</v>
      </c>
      <c r="P38" s="12" t="s">
        <v>32</v>
      </c>
      <c r="Q38" s="5"/>
      <c r="R38" s="49"/>
    </row>
    <row r="39" spans="1:18" ht="15.75" customHeight="1" thickBot="1">
      <c r="A39" s="9" t="s">
        <v>206</v>
      </c>
      <c r="B39" s="209"/>
      <c r="C39" s="208" t="s">
        <v>40</v>
      </c>
      <c r="D39" s="40">
        <f>IF(ISERR(DGET(Base_Entretien,"1000",Vidange_Liquide_Frein_AV)),"",DGET(Base_Entretien,"1000",Vidange_Liquide_Frein_AV))</f>
      </c>
      <c r="E39" s="40">
        <f>IF(ISERR(DGET(Base_Entretien,"6000",Vidange_Liquide_Frein_AV)),"",DGET(Base_Entretien,"6000",Vidange_Liquide_Frein_AV))</f>
      </c>
      <c r="F39" s="40">
        <f>IF(ISERR(DGET(Base_Entretien,"12000",Vidange_Liquide_Frein_AV)),"",DGET(Base_Entretien,"12000",Vidange_Liquide_Frein_AV))</f>
      </c>
      <c r="G39" s="40">
        <f>IF(ISERR(DGET(Base_Entretien,"18000",Vidange_Liquide_Frein_AV)),"",DGET(Base_Entretien,"18000",Vidange_Liquide_Frein_AV))</f>
      </c>
      <c r="H39" s="40">
        <f>IF(ISERR(DGET(Base_Entretien,"24000",Vidange_Liquide_Frein_AV)),"",DGET(Base_Entretien,"24000",Vidange_Liquide_Frein_AV))</f>
      </c>
      <c r="I39" s="60">
        <f>IF(ISTEXT(B39),B39,IF(ISERR(DGET(Base_Entretien,TEXT(KM_Liste_Déroulante,0),Vidange_Liquide_Frein_AV)),"",DGET(Base_Entretien,TEXT(KM_Liste_Déroulante,0),Vidange_Liquide_Frein_AV)))</f>
      </c>
      <c r="J39" s="113">
        <f>IF(LEN($I39)=0,"",DSUM(Base_Fourniture,"Total Cons",Vidange_Liquide_Frein_AV_Année_I))</f>
      </c>
      <c r="K39" s="113">
        <f>IF(LEN($I39)=0,"",DSUM(Base_Opération,"Prix MO Conc",Vidange_Liquide_Frein_AV_Année_I))</f>
      </c>
      <c r="L39" s="113">
        <f>IF(LEN($I39)=0,"",DSUM(Base_Fourniture,"Total Cons",Vidange_Liquide_Frein_AV_Année_I)+DSUM(Base_Opération,"Prix MO Conc",Vidange_Liquide_Frein_AV_Année_I))</f>
      </c>
      <c r="M39" s="113"/>
      <c r="N39" s="113">
        <f>IF(LEN($I39)=0,"",DSUM(Base_Fourniture,"Total Acc",Vidange_Liquide_Frein_AV_Année_I))</f>
      </c>
      <c r="O39" s="148">
        <f>IF(LEN($I39)=0,"",DSUM(Base_Opération,"MO Stromeurs",Vidange_Liquide_Frein_AV_Année_I))</f>
      </c>
      <c r="P39" s="11" t="s">
        <v>29</v>
      </c>
      <c r="Q39" s="5"/>
      <c r="R39" s="49"/>
    </row>
    <row r="40" spans="1:18" ht="15.75" customHeight="1" thickBot="1">
      <c r="A40" s="9" t="s">
        <v>207</v>
      </c>
      <c r="B40" s="209"/>
      <c r="C40" s="208" t="s">
        <v>40</v>
      </c>
      <c r="D40" s="40">
        <f>IF(ISERR(DGET(Base_Entretien,"1000",Vidange_Liquide_Frein_AR)),"",DGET(Base_Entretien,"1000",Vidange_Liquide_Frein_AR))</f>
      </c>
      <c r="E40" s="40">
        <f>IF(ISERR(DGET(Base_Entretien,"6000",Vidange_Liquide_Frein_AR)),"",DGET(Base_Entretien,"6000",Vidange_Liquide_Frein_AR))</f>
      </c>
      <c r="F40" s="40">
        <f>IF(ISERR(DGET(Base_Entretien,"12000",Vidange_Liquide_Frein_AR)),"",DGET(Base_Entretien,"12000",Vidange_Liquide_Frein_AR))</f>
      </c>
      <c r="G40" s="40">
        <f>IF(ISERR(DGET(Base_Entretien,"18000",Vidange_Liquide_Frein_AR)),"",DGET(Base_Entretien,"18000",Vidange_Liquide_Frein_AR))</f>
      </c>
      <c r="H40" s="40">
        <f>IF(ISERR(DGET(Base_Entretien,"24000",Vidange_Liquide_Frein_AR)),"",DGET(Base_Entretien,"24000",Vidange_Liquide_Frein_AR))</f>
      </c>
      <c r="I40" s="60">
        <f>IF(ISTEXT(B40),B40,IF(ISERR(DGET(Base_Entretien,TEXT(KM_Liste_Déroulante,0),Vidange_Liquide_Frein_AR)),"",DGET(Base_Entretien,TEXT(KM_Liste_Déroulante,0),Vidange_Liquide_Frein_AR)))</f>
      </c>
      <c r="J40" s="113">
        <f>IF(LEN($I40)=0,"",DSUM(Base_Fourniture,"Total Cons",Vidange_Liquide_Frein_AR_Année_I))</f>
      </c>
      <c r="K40" s="113">
        <f>IF(LEN($I40)=0,"",DSUM(Base_Opération,"Prix MO Conc",Vidange_Liquide_Frein_AR_Année_I))</f>
      </c>
      <c r="L40" s="113">
        <f>IF(LEN($I40)=0,"",DSUM(Base_Fourniture,"Total Cons",Vidange_Liquide_Frein_AR_Année_I)+DSUM(Base_Opération,"Prix MO Conc",Vidange_Liquide_Frein_AR_Année_I))</f>
      </c>
      <c r="M40" s="113"/>
      <c r="N40" s="113">
        <f>IF(LEN($I40)=0,"",DSUM(Base_Fourniture,"Total Acc",Vidange_Liquide_Frein_AR_Année_I))</f>
      </c>
      <c r="O40" s="148">
        <f>IF(LEN($I40)=0,"",DSUM(Base_Opération,"MO Stromeurs",Vidange_Liquide_Frein_AR_Année_I))</f>
      </c>
      <c r="P40" s="11" t="s">
        <v>29</v>
      </c>
      <c r="Q40" s="5"/>
      <c r="R40" s="49"/>
    </row>
    <row r="41" spans="1:18" ht="15.75" customHeight="1" thickBot="1">
      <c r="A41" s="158" t="s">
        <v>208</v>
      </c>
      <c r="B41" s="207"/>
      <c r="C41" s="210" t="s">
        <v>39</v>
      </c>
      <c r="D41" s="41" t="str">
        <f>IF(ISERR(DGET(Base_Entretien,"1000",Usure_Plaquettes_Freins_AV)),"",DGET(Base_Entretien,"1000",Usure_Plaquettes_Freins_AV))</f>
        <v>I</v>
      </c>
      <c r="E41" s="41" t="str">
        <f>IF(ISERR(DGET(Base_Entretien,"6000",Usure_Plaquettes_Freins_AV)),"",DGET(Base_Entretien,"6000",Usure_Plaquettes_Freins_AV))</f>
        <v>I</v>
      </c>
      <c r="F41" s="41" t="str">
        <f>IF(ISERR(DGET(Base_Entretien,"12000",Usure_Plaquettes_Freins_AV)),"",DGET(Base_Entretien,"12000",Usure_Plaquettes_Freins_AV))</f>
        <v>I</v>
      </c>
      <c r="G41" s="41" t="str">
        <f>IF(ISERR(DGET(Base_Entretien,"18000",Usure_Plaquettes_Freins_AV)),"",DGET(Base_Entretien,"18000",Usure_Plaquettes_Freins_AV))</f>
        <v>I</v>
      </c>
      <c r="H41" s="41" t="str">
        <f>IF(ISERR(DGET(Base_Entretien,"24000",Usure_Plaquettes_Freins_AV)),"",DGET(Base_Entretien,"24000",Usure_Plaquettes_Freins_AV))</f>
        <v>I</v>
      </c>
      <c r="I41" s="61" t="str">
        <f>IF(ISTEXT(B41),B41,IF(ISERR(DGET(Base_Entretien,TEXT(KM_Liste_Déroulante,0),Usure_Plaquettes_Freins_AV)),"",DGET(Base_Entretien,TEXT(KM_Liste_Déroulante,0),Usure_Plaquettes_Freins_AV)))</f>
        <v>I</v>
      </c>
      <c r="J41" s="112">
        <f>IF(LEN($I41)=0,"",DSUM(Base_Fourniture,"Total Cons",Usure_Plaquettes_Freins_AV_Année_I))</f>
        <v>0</v>
      </c>
      <c r="K41" s="112">
        <f>IF(LEN($I41)=0,"",DSUM(Base_Opération,"Prix MO Conc",Usure_Plaquettes_Freins_AV_Année_I))</f>
        <v>1.8333333333333333</v>
      </c>
      <c r="L41" s="112">
        <f>IF(LEN($I41)=0,"",DSUM(Base_Fourniture,"Total Cons",Usure_Plaquettes_Freins_AV_Année_I)+DSUM(Base_Opération,"Prix MO Conc",Usure_Plaquettes_Freins_AV_Année_I))</f>
        <v>1.8333333333333333</v>
      </c>
      <c r="M41" s="112"/>
      <c r="N41" s="112">
        <f>IF(LEN($I41)=0,"",DSUM(Base_Fourniture,"Total Acc",Usure_Plaquettes_Freins_AV_Année_I))</f>
        <v>0</v>
      </c>
      <c r="O41" s="147">
        <f>IF(LEN($I41)=0,"",DSUM(Base_Opération,"MO Stromeurs",Usure_Plaquettes_Freins_AV_Année_I))</f>
        <v>0.001388888888888889</v>
      </c>
      <c r="P41" s="12" t="s">
        <v>37</v>
      </c>
      <c r="Q41" s="5"/>
      <c r="R41" s="49"/>
    </row>
    <row r="42" spans="1:18" ht="15.75" customHeight="1" thickBot="1">
      <c r="A42" s="5" t="s">
        <v>209</v>
      </c>
      <c r="B42" s="156"/>
      <c r="C42" s="210" t="s">
        <v>39</v>
      </c>
      <c r="D42" s="41" t="str">
        <f>IF(ISERR(DGET(Base_Entretien,"1000",Usure_Plaquettes_Freins_AR)),"",DGET(Base_Entretien,"1000",Usure_Plaquettes_Freins_AR))</f>
        <v>I</v>
      </c>
      <c r="E42" s="41" t="str">
        <f>IF(ISERR(DGET(Base_Entretien,"6000",Usure_Plaquettes_Freins_AR)),"",DGET(Base_Entretien,"6000",Usure_Plaquettes_Freins_AR))</f>
        <v>I</v>
      </c>
      <c r="F42" s="41" t="str">
        <f>IF(ISERR(DGET(Base_Entretien,"12000",Usure_Plaquettes_Freins_AR)),"",DGET(Base_Entretien,"12000",Usure_Plaquettes_Freins_AR))</f>
        <v>I</v>
      </c>
      <c r="G42" s="41" t="str">
        <f>IF(ISERR(DGET(Base_Entretien,"18000",Usure_Plaquettes_Freins_AR)),"",DGET(Base_Entretien,"18000",Usure_Plaquettes_Freins_AR))</f>
        <v>I</v>
      </c>
      <c r="H42" s="41" t="str">
        <f>IF(ISERR(DGET(Base_Entretien,"24000",Usure_Plaquettes_Freins_AR)),"",DGET(Base_Entretien,"24000",Usure_Plaquettes_Freins_AR))</f>
        <v>I</v>
      </c>
      <c r="I42" s="61" t="str">
        <f>IF(ISTEXT(B42),B42,IF(ISERR(DGET(Base_Entretien,TEXT(KM_Liste_Déroulante,0),Usure_Plaquettes_Freins_AR)),"",DGET(Base_Entretien,TEXT(KM_Liste_Déroulante,0),Usure_Plaquettes_Freins_AR)))</f>
        <v>I</v>
      </c>
      <c r="J42" s="112">
        <f>IF(LEN($I42)=0,"",DSUM(Base_Fourniture,"Total Cons",Usure_Plaquettes_Freins_AR_Année_I))</f>
        <v>0</v>
      </c>
      <c r="K42" s="112">
        <f>IF(LEN($I42)=0,"",DSUM(Base_Opération,"Prix MO Conc",Usure_Plaquettes_Freins_AR_Année_I))</f>
        <v>1.8333333333333333</v>
      </c>
      <c r="L42" s="112">
        <f>IF(LEN($I42)=0,"",DSUM(Base_Fourniture,"Total Cons",Usure_Plaquettes_Freins_AR_Année_I)+DSUM(Base_Opération,"Prix MO Conc",Usure_Plaquettes_Freins_AR_Année_I))</f>
        <v>1.8333333333333333</v>
      </c>
      <c r="M42" s="112"/>
      <c r="N42" s="112">
        <f>IF(LEN($I42)=0,"",DSUM(Base_Fourniture,"Total Acc",Usure_Plaquettes_Freins_AR_Année_I))</f>
        <v>0</v>
      </c>
      <c r="O42" s="147">
        <f>IF(LEN($I42)=0,"",DSUM(Base_Opération,"MO Stromeurs",Usure_Plaquettes_Freins_AR_Année_I))</f>
        <v>0.001388888888888889</v>
      </c>
      <c r="P42" s="12"/>
      <c r="Q42" s="5"/>
      <c r="R42" s="49"/>
    </row>
    <row r="43" spans="1:18" ht="15.75" customHeight="1" thickBot="1">
      <c r="A43" s="159" t="s">
        <v>23</v>
      </c>
      <c r="B43" s="212"/>
      <c r="C43" s="211" t="s">
        <v>39</v>
      </c>
      <c r="D43" s="40" t="str">
        <f>IF(ISERR(DGET(Base_Entretien,"1000",Entretien_Chaîne)),"",DGET(Base_Entretien,"1000",Entretien_Chaîne))</f>
        <v>I</v>
      </c>
      <c r="E43" s="40" t="str">
        <f>IF(ISERR(DGET(Base_Entretien,"6000",Entretien_Chaîne)),"",DGET(Base_Entretien,"6000",Entretien_Chaîne))</f>
        <v>I</v>
      </c>
      <c r="F43" s="40" t="str">
        <f>IF(ISERR(DGET(Base_Entretien,"12000",Entretien_Chaîne)),"",DGET(Base_Entretien,"12000",Entretien_Chaîne))</f>
        <v>I</v>
      </c>
      <c r="G43" s="40" t="str">
        <f>IF(ISERR(DGET(Base_Entretien,"18000",Entretien_Chaîne)),"",DGET(Base_Entretien,"18000",Entretien_Chaîne))</f>
        <v>I</v>
      </c>
      <c r="H43" s="40" t="str">
        <f>IF(ISERR(DGET(Base_Entretien,"24000",Entretien_Chaîne)),"",DGET(Base_Entretien,"24000",Entretien_Chaîne))</f>
        <v>I</v>
      </c>
      <c r="I43" s="60" t="str">
        <f>IF(ISTEXT(B43),B43,IF(ISERR(DGET(Base_Entretien,TEXT(KM_Liste_Déroulante,0),Entretien_Chaîne)),"",DGET(Base_Entretien,TEXT(KM_Liste_Déroulante,0),Entretien_Chaîne)))</f>
        <v>I</v>
      </c>
      <c r="J43" s="113">
        <f>IF(LEN($I43)=0,"",DSUM(Base_Fourniture,"Total Cons",Entretien_Chaîne_Année_I))</f>
        <v>8.996909999999998</v>
      </c>
      <c r="K43" s="113">
        <f>IF(LEN($I43)=0,"",DSUM(Base_Opération,"Prix MO Conc",Entretien_Chaîne_Année_I))</f>
        <v>4.583333333333333</v>
      </c>
      <c r="L43" s="113">
        <f>IF(LEN($I43)=0,"",DSUM(Base_Fourniture,"Total Cons",Entretien_Chaîne_Année_I)+DSUM(Base_Opération,"Prix MO Conc",Entretien_Chaîne_Année_I))</f>
        <v>13.580243333333332</v>
      </c>
      <c r="M43" s="113"/>
      <c r="N43" s="113">
        <f>IF(LEN($I43)=0,"",DSUM(Base_Fourniture,"Total Acc",Entretien_Chaîne_Année_I))</f>
        <v>0.02</v>
      </c>
      <c r="O43" s="148">
        <f>IF(LEN($I43)=0,"",DSUM(Base_Opération,"MO Stromeurs",Entretien_Chaîne_Année_I))</f>
        <v>0.003472222222222222</v>
      </c>
      <c r="P43" s="23" t="s">
        <v>33</v>
      </c>
      <c r="Q43" s="5"/>
      <c r="R43" s="49"/>
    </row>
    <row r="44" spans="1:18" ht="15.75" customHeight="1">
      <c r="A44" s="35" t="s">
        <v>24</v>
      </c>
      <c r="B44" s="130"/>
      <c r="C44" s="36" t="s">
        <v>39</v>
      </c>
      <c r="D44" s="45" t="str">
        <f>IF(ISERR(DGET(Base_Entretien,"1000",Tension_Chaîne)),"",DGET(Base_Entretien,"1000",Tension_Chaîne))</f>
        <v>I</v>
      </c>
      <c r="E44" s="45" t="str">
        <f>IF(ISERR(DGET(Base_Entretien,"6000",Tension_Chaîne)),"",DGET(Base_Entretien,"6000",Tension_Chaîne))</f>
        <v>I</v>
      </c>
      <c r="F44" s="45" t="str">
        <f>IF(ISERR(DGET(Base_Entretien,"12000",Tension_Chaîne)),"",DGET(Base_Entretien,"12000",Tension_Chaîne))</f>
        <v>I</v>
      </c>
      <c r="G44" s="45" t="str">
        <f>IF(ISERR(DGET(Base_Entretien,"18000",Tension_Chaîne)),"",DGET(Base_Entretien,"18000",Tension_Chaîne))</f>
        <v>I</v>
      </c>
      <c r="H44" s="45" t="str">
        <f>IF(ISERR(DGET(Base_Entretien,"24000",Tension_Chaîne)),"",DGET(Base_Entretien,"24000",Tension_Chaîne))</f>
        <v>I</v>
      </c>
      <c r="I44" s="64" t="str">
        <f>IF(ISERR(DGET(Base_Entretien,TEXT(KM_Liste_Déroulante,0),Tension_Chaîne)),"",DGET(Base_Entretien,TEXT(KM_Liste_Déroulante,0),Tension_Chaîne))</f>
        <v>I</v>
      </c>
      <c r="J44" s="123">
        <f>IF(LEN($I44)=0,"",DSUM(Base_Fourniture,"Total Cons",Tension_Chaîne_Année_I))</f>
        <v>0</v>
      </c>
      <c r="K44" s="123">
        <f>IF(LEN($I44)=0,"",DSUM(Base_Opération,"Prix MO Conc",Tension_Chaîne_Année_I))</f>
        <v>4.583333333333333</v>
      </c>
      <c r="L44" s="123">
        <f>IF(LEN($I44)=0,"",DSUM(Base_Fourniture,"Total Cons",Tension_Chaîne_Année_I)+DSUM(Base_Opération,"Prix MO Conc",Tension_Chaîne_Année_I))</f>
        <v>4.583333333333333</v>
      </c>
      <c r="M44" s="123"/>
      <c r="N44" s="123">
        <f>IF(LEN($I44)=0,"",DSUM(Base_Fourniture,"Total Acc",Tension_Chaîne_Année_I))</f>
        <v>0</v>
      </c>
      <c r="O44" s="149">
        <f>IF(LEN($I44)=0,"",DSUM(Base_Opération,"MO Stromeurs",Tension_Chaîne_Année_I))</f>
        <v>0.003472222222222222</v>
      </c>
      <c r="P44" s="37" t="s">
        <v>31</v>
      </c>
      <c r="Q44" s="5"/>
      <c r="R44" s="54" t="s">
        <v>56</v>
      </c>
    </row>
    <row r="45" spans="1:18" ht="15.75" customHeight="1" thickBot="1">
      <c r="A45" s="9" t="s">
        <v>43</v>
      </c>
      <c r="B45" s="199"/>
      <c r="C45" s="24" t="s">
        <v>39</v>
      </c>
      <c r="D45" s="40">
        <f>IF(ISERR(DGET(Base_Entretien,"1000",Jeu_Béquille_Centrale)),"",DGET(Base_Entretien,"1000",Jeu_Béquille_Centrale))</f>
      </c>
      <c r="E45" s="40">
        <f>IF(ISERR(DGET(Base_Entretien,"6000",Jeu_Béquille_Centrale)),"",DGET(Base_Entretien,"6000",Jeu_Béquille_Centrale))</f>
      </c>
      <c r="F45" s="40">
        <f>IF(ISERR(DGET(Base_Entretien,"12000",Jeu_Béquille_Centrale)),"",DGET(Base_Entretien,"12000",Jeu_Béquille_Centrale))</f>
      </c>
      <c r="G45" s="40">
        <f>IF(ISERR(DGET(Base_Entretien,"18000",Jeu_Béquille_Centrale)),"",DGET(Base_Entretien,"18000",Jeu_Béquille_Centrale))</f>
      </c>
      <c r="H45" s="40">
        <f>IF(ISERR(DGET(Base_Entretien,"24000",Jeu_Béquille_Centrale)),"",DGET(Base_Entretien,"24000",Jeu_Béquille_Centrale))</f>
      </c>
      <c r="I45" s="60">
        <f>IF(ISERR(DGET(Base_Entretien,TEXT(KM_Liste_Déroulante,0),Jeu_Béquille_Centrale)),"",DGET(Base_Entretien,TEXT(KM_Liste_Déroulante,0),Jeu_Béquille_Centrale))</f>
      </c>
      <c r="J45" s="113">
        <f>IF(LEN($I45)=0,"",DSUM(Base_Fourniture,"Total Cons",Jeu_Béquille_Centrale_Année_I))</f>
      </c>
      <c r="K45" s="113">
        <f>IF(LEN($I45)=0,"",DSUM(Base_Opération,"Prix MO Conc",Jeu_Béquille_Centrale_Année_I))</f>
      </c>
      <c r="L45" s="113">
        <f>IF(LEN($I45)=0,"",DSUM(Base_Fourniture,"Total Cons",Jeu_Béquille_Centrale_Année_I)+DSUM(Base_Opération,"Prix MO Conc",Jeu_Béquille_Centrale_Année_I))</f>
      </c>
      <c r="M45" s="113"/>
      <c r="N45" s="113">
        <f>IF(LEN($I45)=0,"",DSUM(Base_Fourniture,"Total Acc",Jeu_Béquille_Centrale_Année_I))</f>
      </c>
      <c r="O45" s="148">
        <f>IF(LEN($I45)=0,"",DSUM(Base_Opération,"MO Stromeurs",Jeu_Béquille_Centrale_Année_I))</f>
      </c>
      <c r="P45" s="23" t="s">
        <v>44</v>
      </c>
      <c r="Q45" s="50"/>
      <c r="R45" s="224" t="s">
        <v>254</v>
      </c>
    </row>
    <row r="46" spans="1:18" ht="15.75" customHeight="1" thickBot="1">
      <c r="A46" s="161" t="s">
        <v>210</v>
      </c>
      <c r="B46" s="215"/>
      <c r="C46" s="214" t="s">
        <v>39</v>
      </c>
      <c r="D46" s="45" t="str">
        <f>IF(ISERR(DGET(Base_Entretien,"1000",Usure_Pneumatique_AV)),"",DGET(Base_Entretien,"1000",Usure_Pneumatique_AV))</f>
        <v>I</v>
      </c>
      <c r="E46" s="45" t="str">
        <f>IF(ISERR(DGET(Base_Entretien,"6000",Usure_Pneumatique_AV)),"",DGET(Base_Entretien,"6000",Usure_Pneumatique_AV))</f>
        <v>I</v>
      </c>
      <c r="F46" s="45" t="str">
        <f>IF(ISERR(DGET(Base_Entretien,"12000",Usure_Pneumatique_AV)),"",DGET(Base_Entretien,"12000",Usure_Pneumatique_AV))</f>
        <v>I</v>
      </c>
      <c r="G46" s="45" t="str">
        <f>IF(ISERR(DGET(Base_Entretien,"18000",Usure_Pneumatique_AV)),"",DGET(Base_Entretien,"18000",Usure_Pneumatique_AV))</f>
        <v>I</v>
      </c>
      <c r="H46" s="45" t="str">
        <f>IF(ISERR(DGET(Base_Entretien,"24000",Usure_Pneumatique_AV)),"",DGET(Base_Entretien,"24000",Usure_Pneumatique_AV))</f>
        <v>I</v>
      </c>
      <c r="I46" s="64" t="str">
        <f>IF(ISTEXT(B46),B46,IF(ISERR(DGET(Base_Entretien,TEXT(KM_Liste_Déroulante,0),Usure_Pneumatique_AV)),"",DGET(Base_Entretien,TEXT(KM_Liste_Déroulante,0),Usure_Pneumatique_AV)))</f>
        <v>I</v>
      </c>
      <c r="J46" s="123">
        <f>IF(LEN($I46)=0,"",DSUM(Base_Fourniture,"Total Cons",Usure_Pneumatique_AV_Année_I))</f>
        <v>0</v>
      </c>
      <c r="K46" s="123">
        <f>IF(LEN($I46)=0,"",DSUM(Base_Opération,"Prix MO Conc",Usure_Pneumatique_AV_Année_I))</f>
        <v>0.9166666666666666</v>
      </c>
      <c r="L46" s="123">
        <f>IF(LEN($I46)=0,"",DSUM(Base_Fourniture,"Total Cons",Jeu_Béquille_Centrale_Année_I)+DSUM(Base_Opération,"Prix MO Conc",Usure_Pneumatique_AV_Année_I))</f>
        <v>0.9166666666666666</v>
      </c>
      <c r="M46" s="123"/>
      <c r="N46" s="123">
        <f>IF(LEN($I46)=0,"",DSUM(Base_Fourniture,"Total Acc",Usure_Pneumatique_AV_Année_I))</f>
        <v>0</v>
      </c>
      <c r="O46" s="149">
        <f>IF(LEN($I46)=0,"",DSUM(Base_Opération,"MO Stromeurs",Usure_Pneumatique_AV_Année_I))</f>
        <v>0.001388888888888889</v>
      </c>
      <c r="P46" s="37"/>
      <c r="Q46" s="6"/>
      <c r="R46" s="117"/>
    </row>
    <row r="47" spans="1:18" ht="15.75" customHeight="1" thickBot="1">
      <c r="A47" s="162" t="s">
        <v>211</v>
      </c>
      <c r="B47" s="215"/>
      <c r="C47" s="216" t="s">
        <v>39</v>
      </c>
      <c r="D47" s="120" t="str">
        <f>IF(ISERR(DGET(Base_Entretien,"1000",Usure_Pneumatique_AR)),"",DGET(Base_Entretien,"1000",Usure_Pneumatique_AR))</f>
        <v>I</v>
      </c>
      <c r="E47" s="120" t="str">
        <f>IF(ISERR(DGET(Base_Entretien,"6000",Usure_Pneumatique_AR)),"",DGET(Base_Entretien,"6000",Usure_Pneumatique_AR))</f>
        <v>I</v>
      </c>
      <c r="F47" s="120" t="str">
        <f>IF(ISERR(DGET(Base_Entretien,"12000",Usure_Pneumatique_AR)),"",DGET(Base_Entretien,"12000",Usure_Pneumatique_AR))</f>
        <v>I</v>
      </c>
      <c r="G47" s="120" t="str">
        <f>IF(ISERR(DGET(Base_Entretien,"18000",Usure_Pneumatique_AR)),"",DGET(Base_Entretien,"18000",Usure_Pneumatique_AR))</f>
        <v>I</v>
      </c>
      <c r="H47" s="120" t="str">
        <f>IF(ISERR(DGET(Base_Entretien,"24000",Usure_Pneumatique_AR)),"",DGET(Base_Entretien,"24000",Usure_Pneumatique_AR))</f>
        <v>I</v>
      </c>
      <c r="I47" s="122" t="str">
        <f>IF(ISTEXT(B47),B47,IF(ISERR(DGET(Base_Entretien,TEXT(KM_Liste_Déroulante,0),Usure_Pneumatique_AR)),"",DGET(Base_Entretien,TEXT(KM_Liste_Déroulante,0),Usure_Pneumatique_AR)))</f>
        <v>I</v>
      </c>
      <c r="J47" s="124">
        <f>IF(LEN($I47)=0,"",DSUM(Base_Fourniture,"Total Cons",Usure_Pneumatique_AR_Année_I))</f>
        <v>0</v>
      </c>
      <c r="K47" s="124">
        <f>IF(LEN($I47)=0,"",DSUM(Base_Opération,"Prix MO Conc",Usure_Pneumatique_AR_Année_I))</f>
        <v>0.9166666666666666</v>
      </c>
      <c r="L47" s="124">
        <f>IF(LEN($I47)=0,"",DSUM(Base_Fourniture,"Total Cons",Jeu_Béquille_Centrale_Année_I)+DSUM(Base_Opération,"Prix MO Conc",Usure_Pneumatique_AR_Année_I))</f>
        <v>0.9166666666666666</v>
      </c>
      <c r="M47" s="124"/>
      <c r="N47" s="124">
        <f>IF(LEN($I47)=0,"",DSUM(Base_Fourniture,"Total Acc",Usure_Pneumatique_AR_Année_I))</f>
        <v>0</v>
      </c>
      <c r="O47" s="150">
        <f>IF(LEN($I47)=0,"",DSUM(Base_Opération,"MO Stromeurs",Usure_Pneumatique_AR_Année_I))</f>
        <v>0.001388888888888889</v>
      </c>
      <c r="P47" s="121"/>
      <c r="Q47" s="6"/>
      <c r="R47" s="117"/>
    </row>
    <row r="48" spans="1:16" ht="13.5" thickBot="1">
      <c r="A48" s="6"/>
      <c r="B48" s="6"/>
      <c r="C48" s="14"/>
      <c r="D48" s="41"/>
      <c r="E48" s="41"/>
      <c r="F48" s="41"/>
      <c r="G48" s="41"/>
      <c r="H48" s="41"/>
      <c r="I48" s="41"/>
      <c r="J48" s="118">
        <f>SUM(J32:J47)</f>
        <v>8.996909999999998</v>
      </c>
      <c r="K48" s="118">
        <f>SUM(K32:K47)</f>
        <v>32.99999999999999</v>
      </c>
      <c r="L48" s="86">
        <f>SUM(L32:L47)</f>
        <v>41.99690999999999</v>
      </c>
      <c r="M48" s="86"/>
      <c r="N48" s="118">
        <f>SUM(N32:N47)</f>
        <v>0.02</v>
      </c>
      <c r="O48" s="151">
        <f>SUM(O32:O47)</f>
        <v>0.03333333333333333</v>
      </c>
      <c r="P48" s="6"/>
    </row>
    <row r="49" spans="3:15" ht="13.5" thickBot="1">
      <c r="C49" s="3"/>
      <c r="D49" s="43"/>
      <c r="E49" s="43"/>
      <c r="F49" s="43"/>
      <c r="G49" s="43"/>
      <c r="H49" s="43"/>
      <c r="I49" s="43"/>
      <c r="J49" s="84"/>
      <c r="K49" s="84"/>
      <c r="L49" s="84"/>
      <c r="M49" s="84"/>
      <c r="N49" s="84"/>
      <c r="O49" s="143"/>
    </row>
    <row r="50" spans="1:18" ht="15.75">
      <c r="A50" s="8" t="s">
        <v>25</v>
      </c>
      <c r="B50" s="201"/>
      <c r="C50" s="31"/>
      <c r="D50" s="44"/>
      <c r="E50" s="44"/>
      <c r="F50" s="44"/>
      <c r="G50" s="44"/>
      <c r="H50" s="44"/>
      <c r="I50" s="63"/>
      <c r="J50" s="111"/>
      <c r="K50" s="111"/>
      <c r="L50" s="111"/>
      <c r="M50" s="111"/>
      <c r="N50" s="111"/>
      <c r="O50" s="146"/>
      <c r="P50" s="29"/>
      <c r="Q50" s="47"/>
      <c r="R50" s="48"/>
    </row>
    <row r="51" spans="1:18" ht="12.75">
      <c r="A51" s="5"/>
      <c r="B51" s="6"/>
      <c r="C51" s="16"/>
      <c r="D51" s="41"/>
      <c r="E51" s="41"/>
      <c r="F51" s="41"/>
      <c r="G51" s="41"/>
      <c r="H51" s="41"/>
      <c r="I51" s="61"/>
      <c r="J51" s="112"/>
      <c r="K51" s="112"/>
      <c r="L51" s="112"/>
      <c r="M51" s="112"/>
      <c r="N51" s="112"/>
      <c r="O51" s="147"/>
      <c r="P51" s="12"/>
      <c r="Q51" s="5"/>
      <c r="R51" s="53"/>
    </row>
    <row r="52" spans="1:18" ht="15.75" customHeight="1">
      <c r="A52" s="9" t="s">
        <v>26</v>
      </c>
      <c r="B52" s="199"/>
      <c r="C52" s="27" t="s">
        <v>39</v>
      </c>
      <c r="D52" s="40" t="str">
        <f>IF(ISERR(DGET(Base_Entretien,"1000",Serrage_Echappement)),"",DGET(Base_Entretien,"1000",Serrage_Echappement))</f>
        <v>S</v>
      </c>
      <c r="E52" s="40" t="str">
        <f>IF(ISERR(DGET(Base_Entretien,"6000",Serrage_Echappement)),"",DGET(Base_Entretien,"6000",Serrage_Echappement))</f>
        <v>S</v>
      </c>
      <c r="F52" s="40" t="str">
        <f>IF(ISERR(DGET(Base_Entretien,"12000",Serrage_Echappement)),"",DGET(Base_Entretien,"12000",Serrage_Echappement))</f>
        <v>S</v>
      </c>
      <c r="G52" s="40" t="str">
        <f>IF(ISERR(DGET(Base_Entretien,"18000",Serrage_Echappement)),"",DGET(Base_Entretien,"18000",Serrage_Echappement))</f>
        <v>S</v>
      </c>
      <c r="H52" s="40" t="str">
        <f>IF(ISERR(DGET(Base_Entretien,"24000",Serrage_Echappement)),"",DGET(Base_Entretien,"24000",Serrage_Echappement))</f>
        <v>S</v>
      </c>
      <c r="I52" s="60" t="str">
        <f>IF(ISERR(DGET(Base_Entretien,TEXT(KM_Liste_Déroulante,0),Serrage_Echappement)),"",DGET(Base_Entretien,TEXT(KM_Liste_Déroulante,0),Serrage_Echappement))</f>
        <v>S</v>
      </c>
      <c r="J52" s="113">
        <f>IF(LEN($I52)=0,"",DSUM(Base_Fourniture,"Total Cons",Serrage_Echappement_Année_I))</f>
        <v>0</v>
      </c>
      <c r="K52" s="113">
        <f>IF(LEN($I52)=0,"",DSUM(Base_Opération,"Prix MO Conc",Serrage_Echappement_Année_I))</f>
        <v>4.583333333333333</v>
      </c>
      <c r="L52" s="113">
        <f>IF(LEN($I52)=0,"",DSUM(Base_Fourniture,"Total Cons",Serrage_Echappement_Année_I)+DSUM(Base_Opération,"Prix MO Conc",Serrage_Echappement_Année_I))</f>
        <v>4.583333333333333</v>
      </c>
      <c r="M52" s="113"/>
      <c r="N52" s="113">
        <f>IF(LEN($I52)=0,"",DSUM(Base_Fourniture,"Total Acc",Serrage_Echappement_Année_I))</f>
        <v>0</v>
      </c>
      <c r="O52" s="148">
        <f>IF(LEN($I52)=0,"",DSUM(Base_Opération,"MO Stromeurs",Serrage_Echappement_Année_I))</f>
        <v>0.003472222222222222</v>
      </c>
      <c r="P52" s="11"/>
      <c r="Q52" s="5"/>
      <c r="R52" s="53"/>
    </row>
    <row r="53" spans="1:18" ht="15.75" customHeight="1">
      <c r="A53" s="5" t="s">
        <v>76</v>
      </c>
      <c r="B53" s="6"/>
      <c r="C53" s="107" t="s">
        <v>39</v>
      </c>
      <c r="D53" s="41" t="str">
        <f>IF(ISERR(DGET(Base_Entretien,"1000",Contrôle_Serrage_Visserie)),"",DGET(Base_Entretien,"1000",Contrôle_Serrage_Visserie))</f>
        <v>S</v>
      </c>
      <c r="E53" s="41" t="str">
        <f>IF(ISERR(DGET(Base_Entretien,"6000",Contrôle_Serrage_Visserie)),"",DGET(Base_Entretien,"6000",Contrôle_Serrage_Visserie))</f>
        <v>S</v>
      </c>
      <c r="F53" s="41" t="str">
        <f>IF(ISERR(DGET(Base_Entretien,"12000",Contrôle_Serrage_Visserie)),"",DGET(Base_Entretien,"12000",Contrôle_Serrage_Visserie))</f>
        <v>S</v>
      </c>
      <c r="G53" s="41" t="str">
        <f>IF(ISERR(DGET(Base_Entretien,"18000",Contrôle_Serrage_Visserie)),"",DGET(Base_Entretien,"18000",Contrôle_Serrage_Visserie))</f>
        <v>S</v>
      </c>
      <c r="H53" s="41" t="str">
        <f>IF(ISERR(DGET(Base_Entretien,"24000",Contrôle_Serrage_Visserie)),"",DGET(Base_Entretien,"24000",Contrôle_Serrage_Visserie))</f>
        <v>S</v>
      </c>
      <c r="I53" s="61" t="str">
        <f>IF(ISERR(DGET(Base_Entretien,TEXT(KM_Liste_Déroulante,0),Contrôle_Serrage_Visserie)),"",DGET(Base_Entretien,TEXT(KM_Liste_Déroulante,0),Contrôle_Serrage_Visserie))</f>
        <v>S</v>
      </c>
      <c r="J53" s="112">
        <f>IF(LEN($I53)=0,"",DSUM(Base_Fourniture,"Total Cons",Contrôle_Serrage_Visserie_Année_I))</f>
        <v>0</v>
      </c>
      <c r="K53" s="112">
        <f>IF(LEN($I53)=0,"",DSUM(Base_Opération,"Prix MO Conc",Contrôle_Serrage_Visserie_Année_I))</f>
        <v>4.583333333333333</v>
      </c>
      <c r="L53" s="112">
        <f>IF(LEN($I53)=0,"",DSUM(Base_Fourniture,"Total Cons",Contrôle_Serrage_Visserie_Année_I)+DSUM(Base_Opération,"Prix MO Conc",Contrôle_Serrage_Visserie_Année_I))</f>
        <v>4.583333333333333</v>
      </c>
      <c r="M53" s="112"/>
      <c r="N53" s="112">
        <f>IF(LEN($I53)=0,"",DSUM(Base_Fourniture,"Total Acc",Contrôle_Serrage_Visserie_Année_I))</f>
        <v>0</v>
      </c>
      <c r="O53" s="147">
        <f>IF(LEN($I53)=0,"",DSUM(Base_Opération,"MO Stromeurs",Contrôle_Serrage_Visserie_Année_I))</f>
        <v>0.006944444444444444</v>
      </c>
      <c r="P53" s="12"/>
      <c r="Q53" s="5"/>
      <c r="R53" s="53"/>
    </row>
    <row r="54" spans="1:18" ht="15.75" customHeight="1" thickBot="1">
      <c r="A54" s="10" t="s">
        <v>142</v>
      </c>
      <c r="B54" s="204"/>
      <c r="C54" s="109" t="s">
        <v>39</v>
      </c>
      <c r="D54" s="110" t="str">
        <f>IF(ISERR(DGET(Base_Entretien,"1000",Essai_Route)),"",DGET(Base_Entretien,"1000",Essai_Route))</f>
        <v>E</v>
      </c>
      <c r="E54" s="42" t="str">
        <f>IF(ISERR(DGET(Base_Entretien,"6000",Essai_Route)),"",DGET(Base_Entretien,"6000",Essai_Route))</f>
        <v>E</v>
      </c>
      <c r="F54" s="42" t="str">
        <f>IF(ISERR(DGET(Base_Entretien,"12000",Essai_Route)),"",DGET(Base_Entretien,"12000",Essai_Route))</f>
        <v>E</v>
      </c>
      <c r="G54" s="42" t="str">
        <f>IF(ISERR(DGET(Base_Entretien,"18000",Essai_Route)),"",DGET(Base_Entretien,"18000",Essai_Route))</f>
        <v>E</v>
      </c>
      <c r="H54" s="116" t="str">
        <f>IF(ISERR(DGET(Base_Entretien,"24000",Essai_Route)),"",DGET(Base_Entretien,"24000",Essai_Route))</f>
        <v>E</v>
      </c>
      <c r="I54" s="62" t="str">
        <f>IF(ISERR(DGET(Base_Entretien,TEXT(KM_Liste_Déroulante,0),Essai_Route)),"",DGET(Base_Entretien,TEXT(KM_Liste_Déroulante,0),Essai_Route))</f>
        <v>E</v>
      </c>
      <c r="J54" s="114">
        <f>IF(LEN($I54)=0,"",DSUM(Base_Fourniture,"Total Cons",Essai_Route_Année_I))</f>
        <v>0</v>
      </c>
      <c r="K54" s="114">
        <f>IF(LEN($I54)=0,"",DSUM(Base_Opération,"Prix MO Conc",Essai_Route_Année_I))</f>
        <v>12.833333333333334</v>
      </c>
      <c r="L54" s="114">
        <f>IF(LEN($I54)=0,"",DSUM(Base_Fourniture,"Total Cons",Essai_Route_Année_I)+DSUM(Base_Opération,"Prix MO Conc",Essai_Route_Année_I))</f>
        <v>12.833333333333334</v>
      </c>
      <c r="M54" s="114"/>
      <c r="N54" s="114">
        <f>IF(LEN($I54)=0,"",DSUM(Base_Fourniture,"Total Acc",Essai_Route_Année_I))</f>
        <v>0</v>
      </c>
      <c r="O54" s="152">
        <f>IF(LEN($I54)=0,"",DSUM(Base_Opération,"MO Stromeurs",Essai_Route_Année_I))</f>
        <v>0.010416666666666666</v>
      </c>
      <c r="P54" s="13"/>
      <c r="Q54" s="50"/>
      <c r="R54" s="68" t="s">
        <v>244</v>
      </c>
    </row>
    <row r="55" spans="1:18" ht="15.75" customHeight="1" thickBot="1">
      <c r="A55" s="6"/>
      <c r="B55" s="6"/>
      <c r="C55" s="76"/>
      <c r="D55" s="41"/>
      <c r="E55" s="41"/>
      <c r="F55" s="41"/>
      <c r="G55" s="41"/>
      <c r="H55" s="41"/>
      <c r="I55" s="41"/>
      <c r="J55" s="106">
        <f>SUM(J52:J54)</f>
        <v>0</v>
      </c>
      <c r="K55" s="106">
        <f>SUM(K52:K54)</f>
        <v>22</v>
      </c>
      <c r="L55" s="90">
        <f>SUM(L52:L54)</f>
        <v>22</v>
      </c>
      <c r="M55" s="106"/>
      <c r="N55" s="106">
        <f>SUM(N52:N54)</f>
        <v>0</v>
      </c>
      <c r="O55" s="145">
        <f>SUM(O52:O54)</f>
        <v>0.020833333333333332</v>
      </c>
      <c r="P55" s="14"/>
      <c r="Q55" s="6"/>
      <c r="R55" s="6"/>
    </row>
    <row r="56" spans="1:18" ht="18" thickBot="1">
      <c r="A56" s="157" t="s">
        <v>240</v>
      </c>
      <c r="B56" s="157"/>
      <c r="C56" s="76"/>
      <c r="D56" s="41"/>
      <c r="E56" s="41"/>
      <c r="F56" s="41"/>
      <c r="G56" s="41"/>
      <c r="H56" s="41"/>
      <c r="I56" s="41"/>
      <c r="J56" s="106"/>
      <c r="K56" s="106"/>
      <c r="L56" s="90"/>
      <c r="M56" s="106"/>
      <c r="N56" s="106"/>
      <c r="O56" s="142"/>
      <c r="P56" s="14"/>
      <c r="Q56" s="6"/>
      <c r="R56" s="6"/>
    </row>
    <row r="57" spans="1:16" ht="13.5" thickBot="1">
      <c r="A57" s="157" t="s">
        <v>241</v>
      </c>
      <c r="B57" s="157"/>
      <c r="J57" s="106">
        <f>J55+J48+J28+J23</f>
        <v>72.16962999999998</v>
      </c>
      <c r="K57" s="106">
        <f>K55+K48+K28+K23</f>
        <v>105.41666666666666</v>
      </c>
      <c r="L57" s="90">
        <f>L55+L48+L28+L23</f>
        <v>177.58629666666664</v>
      </c>
      <c r="M57" s="106"/>
      <c r="N57" s="106">
        <f>N55+N48+N28+N23</f>
        <v>32.86000000000001</v>
      </c>
      <c r="O57" s="142">
        <f>O55+O48+O28+O23</f>
        <v>0.11319444444444446</v>
      </c>
      <c r="P57" s="91" t="s">
        <v>73</v>
      </c>
    </row>
    <row r="58" spans="1:16" ht="12.75">
      <c r="A58" s="157" t="s">
        <v>245</v>
      </c>
      <c r="B58" s="157"/>
      <c r="J58" s="198" t="s">
        <v>249</v>
      </c>
      <c r="K58" s="135"/>
      <c r="L58" s="135"/>
      <c r="M58" s="135"/>
      <c r="N58" s="135"/>
      <c r="O58" s="184"/>
      <c r="P58" s="6"/>
    </row>
    <row r="59" spans="10:16" ht="12.75">
      <c r="J59" s="135"/>
      <c r="K59" s="135"/>
      <c r="L59" s="135"/>
      <c r="M59" s="135"/>
      <c r="N59" s="135"/>
      <c r="O59" s="184"/>
      <c r="P59" s="6"/>
    </row>
    <row r="60" spans="1:16" ht="17.25">
      <c r="A60" s="55" t="s">
        <v>42</v>
      </c>
      <c r="B60" s="55"/>
      <c r="C60" s="56" t="s">
        <v>46</v>
      </c>
      <c r="D60" s="6"/>
      <c r="E60" s="6"/>
      <c r="F60" s="6"/>
      <c r="G60" s="6"/>
      <c r="H60" s="6"/>
      <c r="I60" s="56" t="s">
        <v>49</v>
      </c>
      <c r="J60" s="87"/>
      <c r="K60" s="87"/>
      <c r="L60" s="87"/>
      <c r="M60" s="87"/>
      <c r="N60" s="87"/>
      <c r="O60" s="153"/>
      <c r="P60" s="6"/>
    </row>
    <row r="61" spans="1:16" ht="17.25">
      <c r="A61" s="6"/>
      <c r="B61" s="6"/>
      <c r="C61" s="56" t="s">
        <v>47</v>
      </c>
      <c r="D61" s="6"/>
      <c r="E61" s="6"/>
      <c r="F61" s="6"/>
      <c r="G61" s="6"/>
      <c r="H61" s="6"/>
      <c r="I61" s="56" t="s">
        <v>57</v>
      </c>
      <c r="J61" s="87"/>
      <c r="K61" s="87"/>
      <c r="L61" s="87"/>
      <c r="M61" s="87"/>
      <c r="N61" s="87"/>
      <c r="O61" s="153"/>
      <c r="P61" s="6"/>
    </row>
    <row r="62" spans="1:16" ht="17.25">
      <c r="A62" s="6"/>
      <c r="B62" s="6"/>
      <c r="C62" s="56" t="s">
        <v>48</v>
      </c>
      <c r="D62" s="6"/>
      <c r="E62" s="6"/>
      <c r="F62" s="6"/>
      <c r="G62" s="6"/>
      <c r="H62" s="6"/>
      <c r="I62" s="56" t="s">
        <v>58</v>
      </c>
      <c r="J62" s="87"/>
      <c r="K62" s="87"/>
      <c r="L62" s="87"/>
      <c r="M62" s="87"/>
      <c r="N62" s="87"/>
      <c r="O62" s="153"/>
      <c r="P62" s="6"/>
    </row>
    <row r="63" spans="3:9" ht="17.25">
      <c r="C63" s="6"/>
      <c r="I63" s="56" t="s">
        <v>203</v>
      </c>
    </row>
    <row r="64" spans="3:15" ht="18.75">
      <c r="C64" s="6"/>
      <c r="E64" s="17"/>
      <c r="H64" s="18"/>
      <c r="I64" s="18"/>
      <c r="J64" s="88"/>
      <c r="K64" s="88"/>
      <c r="L64" s="88"/>
      <c r="M64" s="88"/>
      <c r="N64" s="88"/>
      <c r="O64" s="154"/>
    </row>
  </sheetData>
  <sheetProtection/>
  <mergeCells count="3">
    <mergeCell ref="J6:L6"/>
    <mergeCell ref="N6:O6"/>
    <mergeCell ref="I3:L3"/>
  </mergeCells>
  <conditionalFormatting sqref="F8:H9 P8:P56">
    <cfRule type="expression" priority="4" dxfId="0" stopIfTrue="1">
      <formula>"RECHERCHEV($B$1;C5:C31;1;FAUX)"</formula>
    </cfRule>
  </conditionalFormatting>
  <conditionalFormatting sqref="E8">
    <cfRule type="expression" priority="5" dxfId="1" stopIfTrue="1">
      <formula>IF(LEN($E8)&gt;0,TRUE,FALSE)</formula>
    </cfRule>
  </conditionalFormatting>
  <conditionalFormatting sqref="I55:I56 I8 J55:O59">
    <cfRule type="expression" priority="6" dxfId="0" stopIfTrue="1">
      <formula>IF(LEN($I8)&gt;0,TRUE,FALSE)</formula>
    </cfRule>
  </conditionalFormatting>
  <conditionalFormatting sqref="E9">
    <cfRule type="expression" priority="7" dxfId="0" stopIfTrue="1">
      <formula>IF(LEN($E9)&gt;0,VLOOKUP($C$5,E$8:E$9,1,FALSE),FALSE)</formula>
    </cfRule>
  </conditionalFormatting>
  <conditionalFormatting sqref="I9:O9">
    <cfRule type="expression" priority="8" dxfId="22" stopIfTrue="1">
      <formula>IF(LEN($I9)&gt;0,TRUE,FALSE)</formula>
    </cfRule>
  </conditionalFormatting>
  <conditionalFormatting sqref="D8:D9">
    <cfRule type="expression" priority="9" dxfId="0" stopIfTrue="1">
      <formula>IF(LEN($D65469)&gt;0,VLOOKUP($C$5,D$1:D$7,1,FALSE),FALSE)</formula>
    </cfRule>
  </conditionalFormatting>
  <conditionalFormatting sqref="R54">
    <cfRule type="expression" priority="1" dxfId="8" stopIfTrue="1">
      <formula>AND(Filtre_Base_Fourniture="OUI",SEARCH($A54,$E54,1),LEN($A54)&gt;0,(SEARCH(TEXT(AM_Liste_Déroulante,0),$D54,1)))</formula>
    </cfRule>
    <cfRule type="expression" priority="2" dxfId="1" stopIfTrue="1">
      <formula>AND(Filtre_Base_Fourniture="OUI",IF(ISERR(SEARCH(TEXT(AM_Liste_Déroulante,0),$D54,1)),TRUE,FALSE))</formula>
    </cfRule>
    <cfRule type="expression" priority="3" dxfId="1" stopIfTrue="1">
      <formula>AND(Filtre_Base_Fourniture="OUI",OR(LEN($A54)=0,IF(ISERR(SEARCH($A54,$E54,1)),TRUE,FALSE)))</formula>
    </cfRule>
  </conditionalFormatting>
  <dataValidations count="6">
    <dataValidation type="list" allowBlank="1" showErrorMessage="1" promptTitle="Utiliser la liste" errorTitle="Fréquence incorrect" error="La fréquence d'entretien doit être un multiple de 6000 (A part la révision des 1000)" sqref="I3">
      <formula1>Fréquence_Révision</formula1>
    </dataValidation>
    <dataValidation type="list" allowBlank="1" showInputMessage="1" showErrorMessage="1" sqref="B3">
      <formula1>"2003,2004,2005,2006,2007,2008"</formula1>
    </dataValidation>
    <dataValidation type="list" allowBlank="1" showDropDown="1" showErrorMessage="1" errorTitle="Ne pas modifier cette cellule !" error="Si cette cellule n'est pas valorisée à &quot;Opération&quot;, les formules du tableau ne fonctionneront plus." sqref="A7">
      <formula1>"vrai"</formula1>
    </dataValidation>
    <dataValidation type="list" allowBlank="1" showInputMessage="1" showErrorMessage="1" errorTitle="Utiliser les valeurs de la liste" error="Il n'est pas possible d'utiliser d'autre valeur que ceux de la liste déroulante" sqref="B19 B22 B27 B33 B39:B43 B46:B47 B35">
      <formula1>"R, "</formula1>
    </dataValidation>
    <dataValidation type="list" allowBlank="1" showDropDown="1" showErrorMessage="1" errorTitle="Cellule protégée !" error="Cette cellule est protégée !" sqref="B7">
      <formula1>"O"</formula1>
    </dataValidation>
    <dataValidation type="list" allowBlank="1" showInputMessage="1" showErrorMessage="1" sqref="A3">
      <formula1>"2003,2004,2005,2006,2007,2008,2009"</formula1>
    </dataValidation>
  </dataValidations>
  <hyperlinks>
    <hyperlink ref="A41" r:id="rId1" tooltip="Remplacement des plaquettes de frein avant par Loic" display="Usure des plaquettes de freins AV"/>
    <hyperlink ref="A33" r:id="rId2" tooltip="Vidange de l'huile de Fourche par LUDO" display="Vidanger d'huile de fourche"/>
    <hyperlink ref="A14" r:id="rId3" tooltip="Réglage du ralenti par Bégé" display="Régime du ralenti"/>
    <hyperlink ref="A27" r:id="rId4" tooltip="Fusible de rechange sur la DL par Alanus" display="Batterie "/>
    <hyperlink ref="A13" r:id="rId5" tooltip="Démontage du réservoir par Jolijumper" display="Nettoyage du filtre à air"/>
    <hyperlink ref="A46:A47" r:id="rId6" tooltip="Qualité des pneus d'origine par Bégé" display="Usure Pneumatique AV"/>
    <hyperlink ref="A43" r:id="rId7" tooltip="Changement du PSB par Bégé" display="Entretien de la chaîne"/>
    <hyperlink ref="A56" location="'Base Opération'!A1" tooltip="Détail des opérations" display="Accès aux détails des opérations"/>
    <hyperlink ref="A57" location="'Base Fourniture'!A1" tooltip="Détails des fournitures" display="Accès aux détails des Fournitures"/>
    <hyperlink ref="A58" location="'Base entretien'!A1" tooltip="Accès à la base Entretien" display="Accès à la base Entretien"/>
  </hyperlinks>
  <printOptions/>
  <pageMargins left="0.5905511811023623" right="0.31496062992125984" top="0.2362204724409449" bottom="0.2362204724409449" header="0.15748031496062992" footer="0.15748031496062992"/>
  <pageSetup orientation="landscape" paperSize="9" scale="75"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showGridLines="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6" sqref="D6"/>
    </sheetView>
  </sheetViews>
  <sheetFormatPr defaultColWidth="11.421875" defaultRowHeight="12.75" outlineLevelCol="1"/>
  <cols>
    <col min="1" max="1" width="3.00390625" style="0" bestFit="1" customWidth="1"/>
    <col min="2" max="2" width="10.8515625" style="0" bestFit="1" customWidth="1"/>
    <col min="3" max="3" width="32.421875" style="0" bestFit="1" customWidth="1"/>
    <col min="4" max="4" width="33.57421875" style="65" customWidth="1" outlineLevel="1"/>
    <col min="5" max="5" width="11.8515625" style="65" customWidth="1" outlineLevel="1"/>
    <col min="6" max="6" width="18.7109375" style="98" bestFit="1" customWidth="1"/>
    <col min="7" max="7" width="9.140625" style="72" bestFit="1" customWidth="1"/>
    <col min="8" max="8" width="13.421875" style="165" bestFit="1" customWidth="1"/>
    <col min="9" max="9" width="44.421875" style="0" bestFit="1" customWidth="1"/>
  </cols>
  <sheetData>
    <row r="1" spans="2:3" ht="12.75">
      <c r="B1" s="237" t="s">
        <v>242</v>
      </c>
      <c r="C1" s="237"/>
    </row>
    <row r="2" ht="11.25" customHeight="1"/>
    <row r="3" spans="2:4" ht="13.5" thickBot="1">
      <c r="B3" s="240" t="s">
        <v>239</v>
      </c>
      <c r="C3" s="240"/>
      <c r="D3" s="192"/>
    </row>
    <row r="4" spans="2:4" ht="13.5" thickBot="1">
      <c r="B4" s="238" t="s">
        <v>277</v>
      </c>
      <c r="C4" s="239"/>
      <c r="D4"/>
    </row>
    <row r="5" spans="2:4" ht="3.75" customHeight="1">
      <c r="B5" s="190"/>
      <c r="C5" s="130"/>
      <c r="D5" s="191"/>
    </row>
    <row r="6" spans="2:3" ht="15.75" customHeight="1" thickBot="1">
      <c r="B6" s="243" t="s">
        <v>246</v>
      </c>
      <c r="C6" s="243"/>
    </row>
    <row r="7" spans="2:3" ht="13.5" thickBot="1">
      <c r="B7" s="241">
        <f>TARIF_Horraire</f>
        <v>55</v>
      </c>
      <c r="C7" s="242"/>
    </row>
    <row r="8" spans="2:3" ht="13.5" thickBot="1">
      <c r="B8" s="163"/>
      <c r="C8" s="189"/>
    </row>
    <row r="9" spans="6:8" ht="12.75">
      <c r="F9" s="173" t="s">
        <v>164</v>
      </c>
      <c r="G9" s="235" t="s">
        <v>163</v>
      </c>
      <c r="H9" s="236"/>
    </row>
    <row r="10" spans="1:9" s="69" customFormat="1" ht="12.75">
      <c r="A10" s="167" t="s">
        <v>35</v>
      </c>
      <c r="B10" s="70" t="s">
        <v>66</v>
      </c>
      <c r="C10" s="70" t="s">
        <v>65</v>
      </c>
      <c r="D10" s="71" t="s">
        <v>63</v>
      </c>
      <c r="E10" s="171" t="s">
        <v>157</v>
      </c>
      <c r="F10" s="174" t="s">
        <v>192</v>
      </c>
      <c r="G10" s="177" t="s">
        <v>161</v>
      </c>
      <c r="H10" s="178" t="s">
        <v>162</v>
      </c>
      <c r="I10" s="73" t="s">
        <v>64</v>
      </c>
    </row>
    <row r="11" spans="1:9" ht="12.75">
      <c r="A11" s="67" t="str">
        <f>IF(ISNA(VLOOKUP(C11,'Tableau entretien DL'!$A$7:$O$100,9,FALSE)),"",VLOOKUP(C11,'Tableau entretien DL'!$A$7:$O$100,9,FALSE))</f>
        <v>I</v>
      </c>
      <c r="B11" s="67" t="s">
        <v>1</v>
      </c>
      <c r="C11" s="67" t="s">
        <v>20</v>
      </c>
      <c r="D11" s="66" t="s">
        <v>271</v>
      </c>
      <c r="E11" s="172" t="s">
        <v>158</v>
      </c>
      <c r="F11" s="175">
        <v>0.003472222222222222</v>
      </c>
      <c r="G11" s="179">
        <v>0.003472222222222222</v>
      </c>
      <c r="H11" s="180">
        <f>IF(ISTEXT(G11),"",(HOUR(G11)*TARIF_Horraire)+((MINUTE(G11)/60)*TARIF_Horraire)+((SECOND(G11)/3600)*TARIF_Horraire))</f>
        <v>4.583333333333333</v>
      </c>
      <c r="I11" s="95" t="s">
        <v>54</v>
      </c>
    </row>
    <row r="12" spans="1:9" ht="12.75">
      <c r="A12" s="67" t="str">
        <f>IF(ISNA(VLOOKUP(C12,'Tableau entretien DL'!$A$7:$O$100,9,FALSE)),"",VLOOKUP(C12,'Tableau entretien DL'!$A$7:$O$100,9,FALSE))</f>
        <v>R</v>
      </c>
      <c r="B12" s="67" t="s">
        <v>1</v>
      </c>
      <c r="C12" s="67" t="s">
        <v>2</v>
      </c>
      <c r="D12" s="66" t="s">
        <v>271</v>
      </c>
      <c r="E12" s="172" t="s">
        <v>159</v>
      </c>
      <c r="F12" s="175">
        <v>0.013888888888888888</v>
      </c>
      <c r="G12" s="181">
        <v>0.006944444444444444</v>
      </c>
      <c r="H12" s="180">
        <f>IF(ISTEXT(G12),"",(HOUR(G12)*TARIF_Horraire)+((MINUTE(G12)/60)*TARIF_Horraire)+((SECOND(G12)/3600)*TARIF_Horraire))</f>
        <v>9.166666666666666</v>
      </c>
      <c r="I12" s="95" t="s">
        <v>51</v>
      </c>
    </row>
    <row r="13" spans="1:9" ht="12.75">
      <c r="A13" s="67">
        <f>IF(ISNA(VLOOKUP(C13,'Tableau entretien DL'!$A$7:$O$100,9,FALSE)),"",VLOOKUP(C13,'Tableau entretien DL'!$A$7:$O$100,9,FALSE))</f>
      </c>
      <c r="B13" s="67" t="s">
        <v>1</v>
      </c>
      <c r="C13" s="67" t="s">
        <v>3</v>
      </c>
      <c r="D13" s="66" t="s">
        <v>271</v>
      </c>
      <c r="E13" s="172" t="s">
        <v>159</v>
      </c>
      <c r="F13" s="175">
        <v>0.006944444444444444</v>
      </c>
      <c r="G13" s="181">
        <v>0.006944444444444444</v>
      </c>
      <c r="H13" s="180">
        <f>IF(ISTEXT(G13),"",(HOUR(G13)*TARIF_Horraire)+((MINUTE(G13)/60)*TARIF_Horraire)+((SECOND(G13)/3600)*TARIF_Horraire))</f>
        <v>9.166666666666666</v>
      </c>
      <c r="I13" s="95" t="s">
        <v>50</v>
      </c>
    </row>
    <row r="14" spans="1:9" ht="12.75">
      <c r="A14" s="67" t="str">
        <f>IF(ISNA(VLOOKUP(C14,'Tableau entretien DL'!$A$7:$O$100,9,FALSE)),"",VLOOKUP(C14,'Tableau entretien DL'!$A$7:$O$100,9,FALSE))</f>
        <v>I</v>
      </c>
      <c r="B14" s="67" t="s">
        <v>1</v>
      </c>
      <c r="C14" s="67" t="s">
        <v>19</v>
      </c>
      <c r="D14" s="66" t="s">
        <v>271</v>
      </c>
      <c r="E14" s="172" t="s">
        <v>159</v>
      </c>
      <c r="F14" s="175">
        <v>0.020833333333333332</v>
      </c>
      <c r="G14" s="181">
        <v>0.020833333333333332</v>
      </c>
      <c r="H14" s="180">
        <f>IF(ISTEXT(G14),"",(HOUR(G14)*TARIF_Horraire)+((MINUTE(G14)/60)*TARIF_Horraire)+((SECOND(G14)/3600)*TARIF_Horraire))</f>
        <v>27.5</v>
      </c>
      <c r="I14" s="67"/>
    </row>
    <row r="15" spans="1:9" ht="12.75">
      <c r="A15" s="67" t="str">
        <f>IF(ISNA(VLOOKUP(C15,'Tableau entretien DL'!$A$7:$O$100,9,FALSE)),"",VLOOKUP(C15,'Tableau entretien DL'!$A$7:$O$100,9,FALSE))</f>
        <v>I</v>
      </c>
      <c r="B15" s="67" t="s">
        <v>1</v>
      </c>
      <c r="C15" s="67" t="s">
        <v>4</v>
      </c>
      <c r="D15" s="66" t="s">
        <v>271</v>
      </c>
      <c r="E15" s="172" t="s">
        <v>158</v>
      </c>
      <c r="F15" s="175">
        <v>0.003472222222222222</v>
      </c>
      <c r="G15" s="181">
        <v>0.003472222222222222</v>
      </c>
      <c r="H15" s="180">
        <f aca="true" t="shared" si="0" ref="H15:H50">IF(ISTEXT(G15),"",(HOUR(G15)*TARIF_Horraire)+((MINUTE(G15)/60)*TARIF_Horraire)+((SECOND(G15)/3600)*TARIF_Horraire))</f>
        <v>4.583333333333333</v>
      </c>
      <c r="I15" s="67" t="s">
        <v>102</v>
      </c>
    </row>
    <row r="16" spans="1:9" ht="12.75">
      <c r="A16" s="67" t="str">
        <f>IF(ISNA(VLOOKUP(C16,'Tableau entretien DL'!$A$7:$O$100,9,FALSE)),"",VLOOKUP(C16,'Tableau entretien DL'!$A$7:$O$100,9,FALSE))</f>
        <v>I</v>
      </c>
      <c r="B16" s="67" t="s">
        <v>1</v>
      </c>
      <c r="C16" s="67" t="s">
        <v>5</v>
      </c>
      <c r="D16" s="66" t="s">
        <v>271</v>
      </c>
      <c r="E16" s="172" t="s">
        <v>158</v>
      </c>
      <c r="F16" s="175">
        <v>0.003472222222222222</v>
      </c>
      <c r="G16" s="181">
        <v>0.003472222222222222</v>
      </c>
      <c r="H16" s="180">
        <f t="shared" si="0"/>
        <v>4.583333333333333</v>
      </c>
      <c r="I16" s="67"/>
    </row>
    <row r="17" spans="1:9" ht="12.75">
      <c r="A17" s="67" t="str">
        <f>IF(ISNA(VLOOKUP(C17,'Tableau entretien DL'!$A$7:$O$100,9,FALSE)),"",VLOOKUP(C17,'Tableau entretien DL'!$A$7:$O$100,9,FALSE))</f>
        <v>I</v>
      </c>
      <c r="B17" s="67" t="s">
        <v>1</v>
      </c>
      <c r="C17" s="67" t="s">
        <v>6</v>
      </c>
      <c r="D17" s="66" t="s">
        <v>271</v>
      </c>
      <c r="E17" s="172"/>
      <c r="F17" s="175" t="s">
        <v>69</v>
      </c>
      <c r="G17" s="181" t="s">
        <v>69</v>
      </c>
      <c r="H17" s="180">
        <f t="shared" si="0"/>
      </c>
      <c r="I17" s="67"/>
    </row>
    <row r="18" spans="1:9" ht="12.75">
      <c r="A18" s="67" t="str">
        <f>IF(ISNA(VLOOKUP(C18,'Tableau entretien DL'!$A$7:$O$100,9,FALSE)),"",VLOOKUP(C18,'Tableau entretien DL'!$A$7:$O$100,9,FALSE))</f>
        <v>I</v>
      </c>
      <c r="B18" s="67" t="s">
        <v>1</v>
      </c>
      <c r="C18" s="67" t="s">
        <v>7</v>
      </c>
      <c r="D18" s="66" t="s">
        <v>271</v>
      </c>
      <c r="E18" s="172"/>
      <c r="F18" s="175" t="s">
        <v>69</v>
      </c>
      <c r="G18" s="181" t="s">
        <v>69</v>
      </c>
      <c r="H18" s="180">
        <f t="shared" si="0"/>
      </c>
      <c r="I18" s="67"/>
    </row>
    <row r="19" spans="1:9" ht="12.75">
      <c r="A19" s="67" t="str">
        <f>IF(ISNA(VLOOKUP(C19,'Tableau entretien DL'!$A$7:$O$100,9,FALSE)),"",VLOOKUP(C19,'Tableau entretien DL'!$A$7:$O$100,9,FALSE))</f>
        <v>R</v>
      </c>
      <c r="B19" s="67" t="s">
        <v>1</v>
      </c>
      <c r="C19" s="67" t="s">
        <v>8</v>
      </c>
      <c r="D19" s="66" t="s">
        <v>67</v>
      </c>
      <c r="E19" s="172" t="s">
        <v>159</v>
      </c>
      <c r="F19" s="175">
        <v>0.020833333333333332</v>
      </c>
      <c r="G19" s="181">
        <v>0.013888888888888888</v>
      </c>
      <c r="H19" s="180">
        <f t="shared" si="0"/>
        <v>18.333333333333332</v>
      </c>
      <c r="I19" s="67"/>
    </row>
    <row r="20" spans="1:9" ht="12.75">
      <c r="A20" s="67" t="str">
        <f>IF(ISNA(VLOOKUP(C20,'Tableau entretien DL'!$A$7:$O$100,9,FALSE)),"",VLOOKUP(C20,'Tableau entretien DL'!$A$7:$O$100,9,FALSE))</f>
        <v>R</v>
      </c>
      <c r="B20" s="67" t="s">
        <v>1</v>
      </c>
      <c r="C20" s="67" t="s">
        <v>8</v>
      </c>
      <c r="D20" s="66" t="s">
        <v>272</v>
      </c>
      <c r="E20" s="172" t="s">
        <v>159</v>
      </c>
      <c r="F20" s="175">
        <v>0.027777777777777776</v>
      </c>
      <c r="G20" s="181">
        <v>0.017361111111111112</v>
      </c>
      <c r="H20" s="180">
        <f t="shared" si="0"/>
        <v>22.916666666666668</v>
      </c>
      <c r="I20" s="67"/>
    </row>
    <row r="21" spans="1:9" ht="12.75">
      <c r="A21" s="67">
        <f>IF(ISNA(VLOOKUP(C21,'Tableau entretien DL'!$A$7:$O$100,9,FALSE)),"",VLOOKUP(C21,'Tableau entretien DL'!$A$7:$O$100,9,FALSE))</f>
      </c>
      <c r="B21" s="67" t="s">
        <v>1</v>
      </c>
      <c r="C21" s="67" t="s">
        <v>21</v>
      </c>
      <c r="D21" s="66" t="s">
        <v>271</v>
      </c>
      <c r="E21" s="172"/>
      <c r="F21" s="175" t="s">
        <v>69</v>
      </c>
      <c r="G21" s="181" t="s">
        <v>69</v>
      </c>
      <c r="H21" s="180">
        <f t="shared" si="0"/>
      </c>
      <c r="I21" s="67"/>
    </row>
    <row r="22" spans="1:9" ht="12.75">
      <c r="A22" s="67" t="str">
        <f>IF(ISNA(VLOOKUP(C22,'Tableau entretien DL'!$A$7:$O$100,9,FALSE)),"",VLOOKUP(C22,'Tableau entretien DL'!$A$7:$O$100,9,FALSE))</f>
        <v>I</v>
      </c>
      <c r="B22" s="67" t="s">
        <v>1</v>
      </c>
      <c r="C22" s="67" t="s">
        <v>9</v>
      </c>
      <c r="D22" s="66" t="s">
        <v>271</v>
      </c>
      <c r="E22" s="172" t="s">
        <v>158</v>
      </c>
      <c r="F22" s="175">
        <v>0.003472222222222222</v>
      </c>
      <c r="G22" s="181">
        <v>0.003472222222222222</v>
      </c>
      <c r="H22" s="180">
        <f t="shared" si="0"/>
        <v>4.583333333333333</v>
      </c>
      <c r="I22" s="67"/>
    </row>
    <row r="23" spans="1:9" ht="12.75">
      <c r="A23" s="67">
        <f>IF(ISNA(VLOOKUP(C23,'Tableau entretien DL'!$A$7:$O$100,9,FALSE)),"",VLOOKUP(C23,'Tableau entretien DL'!$A$7:$O$100,9,FALSE))</f>
      </c>
      <c r="B23" s="67" t="s">
        <v>1</v>
      </c>
      <c r="C23" s="67" t="s">
        <v>10</v>
      </c>
      <c r="D23" s="66" t="s">
        <v>271</v>
      </c>
      <c r="E23" s="172" t="s">
        <v>158</v>
      </c>
      <c r="F23" s="175" t="s">
        <v>69</v>
      </c>
      <c r="G23" s="181">
        <v>0.041666666666666664</v>
      </c>
      <c r="H23" s="180">
        <f t="shared" si="0"/>
        <v>55</v>
      </c>
      <c r="I23" s="67"/>
    </row>
    <row r="24" spans="1:9" ht="12.75">
      <c r="A24" s="67" t="str">
        <f>IF(ISNA(VLOOKUP(C24,'Tableau entretien DL'!$A$7:$O$100,9,FALSE)),"",VLOOKUP(C24,'Tableau entretien DL'!$A$7:$O$100,9,FALSE))</f>
        <v>I</v>
      </c>
      <c r="B24" s="67" t="s">
        <v>1</v>
      </c>
      <c r="C24" s="67" t="s">
        <v>11</v>
      </c>
      <c r="D24" s="66" t="s">
        <v>271</v>
      </c>
      <c r="E24" s="172" t="s">
        <v>158</v>
      </c>
      <c r="F24" s="175">
        <v>0.010416666666666666</v>
      </c>
      <c r="G24" s="181">
        <v>0.003472222222222222</v>
      </c>
      <c r="H24" s="180">
        <f t="shared" si="0"/>
        <v>4.583333333333333</v>
      </c>
      <c r="I24" s="67"/>
    </row>
    <row r="25" spans="1:9" ht="12.75">
      <c r="A25" s="67">
        <f>IF(ISNA(VLOOKUP(C25,'Tableau entretien DL'!$A$7:$O$100,9,FALSE)),"",VLOOKUP(C25,'Tableau entretien DL'!$A$7:$O$100,9,FALSE))</f>
      </c>
      <c r="B25" s="67" t="s">
        <v>12</v>
      </c>
      <c r="C25" s="67" t="s">
        <v>13</v>
      </c>
      <c r="D25" s="66" t="s">
        <v>271</v>
      </c>
      <c r="E25" s="172"/>
      <c r="F25" s="175" t="s">
        <v>69</v>
      </c>
      <c r="G25" s="181" t="s">
        <v>69</v>
      </c>
      <c r="H25" s="180">
        <f t="shared" si="0"/>
      </c>
      <c r="I25" s="67" t="s">
        <v>53</v>
      </c>
    </row>
    <row r="26" spans="1:9" ht="12.75">
      <c r="A26" s="67" t="str">
        <f>IF(ISNA(VLOOKUP(C26,'Tableau entretien DL'!$A$7:$O$100,9,FALSE)),"",VLOOKUP(C26,'Tableau entretien DL'!$A$7:$O$100,9,FALSE))</f>
        <v>I</v>
      </c>
      <c r="B26" s="67" t="s">
        <v>14</v>
      </c>
      <c r="C26" s="67" t="s">
        <v>15</v>
      </c>
      <c r="D26" s="66" t="s">
        <v>271</v>
      </c>
      <c r="E26" s="172" t="s">
        <v>158</v>
      </c>
      <c r="F26" s="175">
        <v>0.003472222222222222</v>
      </c>
      <c r="G26" s="181">
        <v>0.003472222222222222</v>
      </c>
      <c r="H26" s="180">
        <f t="shared" si="0"/>
        <v>4.583333333333333</v>
      </c>
      <c r="I26" s="67"/>
    </row>
    <row r="27" spans="1:9" ht="12.75">
      <c r="A27" s="67">
        <f>IF(ISNA(VLOOKUP(C27,'Tableau entretien DL'!$A$7:$O$100,9,FALSE)),"",VLOOKUP(C27,'Tableau entretien DL'!$A$7:$O$100,9,FALSE))</f>
      </c>
      <c r="B27" s="67" t="s">
        <v>14</v>
      </c>
      <c r="C27" s="67" t="s">
        <v>16</v>
      </c>
      <c r="D27" s="66" t="s">
        <v>271</v>
      </c>
      <c r="E27" s="172" t="s">
        <v>159</v>
      </c>
      <c r="F27" s="175">
        <v>0.08333333333333333</v>
      </c>
      <c r="G27" s="181">
        <v>0.041666666666666664</v>
      </c>
      <c r="H27" s="180">
        <f t="shared" si="0"/>
        <v>55</v>
      </c>
      <c r="I27" s="67" t="s">
        <v>104</v>
      </c>
    </row>
    <row r="28" spans="1:9" ht="12.75">
      <c r="A28" s="67" t="str">
        <f>IF(ISNA(VLOOKUP(C28,'Tableau entretien DL'!$A$7:$O$100,9,FALSE)),"",VLOOKUP(C28,'Tableau entretien DL'!$A$7:$O$100,9,FALSE))</f>
        <v>I</v>
      </c>
      <c r="B28" s="67" t="s">
        <v>14</v>
      </c>
      <c r="C28" s="67" t="s">
        <v>17</v>
      </c>
      <c r="D28" s="66" t="s">
        <v>271</v>
      </c>
      <c r="E28" s="172"/>
      <c r="F28" s="175" t="s">
        <v>69</v>
      </c>
      <c r="G28" s="181" t="s">
        <v>69</v>
      </c>
      <c r="H28" s="180">
        <f t="shared" si="0"/>
      </c>
      <c r="I28" s="67"/>
    </row>
    <row r="29" spans="1:9" ht="12.75">
      <c r="A29" s="67" t="str">
        <f>IF(ISNA(VLOOKUP(C29,'Tableau entretien DL'!$A$7:$O$100,9,FALSE)),"",VLOOKUP(C29,'Tableau entretien DL'!$A$7:$O$100,9,FALSE))</f>
        <v>I</v>
      </c>
      <c r="B29" s="67" t="s">
        <v>14</v>
      </c>
      <c r="C29" s="67" t="s">
        <v>75</v>
      </c>
      <c r="D29" s="66" t="s">
        <v>271</v>
      </c>
      <c r="E29" s="172" t="s">
        <v>158</v>
      </c>
      <c r="F29" s="175">
        <v>0.003472222222222222</v>
      </c>
      <c r="G29" s="181">
        <v>0.003472222222222222</v>
      </c>
      <c r="H29" s="180">
        <f t="shared" si="0"/>
        <v>4.583333333333333</v>
      </c>
      <c r="I29" s="67"/>
    </row>
    <row r="30" spans="1:9" ht="12.75">
      <c r="A30" s="67" t="str">
        <f>IF(ISNA(VLOOKUP(C30,'Tableau entretien DL'!$A$7:$O$100,9,FALSE)),"",VLOOKUP(C30,'Tableau entretien DL'!$A$7:$O$100,9,FALSE))</f>
        <v>I</v>
      </c>
      <c r="B30" s="67" t="s">
        <v>14</v>
      </c>
      <c r="C30" s="67" t="s">
        <v>75</v>
      </c>
      <c r="D30" s="66" t="s">
        <v>271</v>
      </c>
      <c r="E30" s="172" t="s">
        <v>159</v>
      </c>
      <c r="F30" s="175"/>
      <c r="G30" s="181">
        <v>0.08333333333333333</v>
      </c>
      <c r="H30" s="180">
        <f t="shared" si="0"/>
        <v>110</v>
      </c>
      <c r="I30" s="67"/>
    </row>
    <row r="31" spans="1:9" ht="12.75">
      <c r="A31" s="67">
        <f>IF(ISNA(VLOOKUP(C31,'Tableau entretien DL'!$A$7:$O$100,9,FALSE)),"",VLOOKUP(C31,'Tableau entretien DL'!$A$7:$O$100,9,FALSE))</f>
      </c>
      <c r="B31" s="67" t="s">
        <v>14</v>
      </c>
      <c r="C31" s="67" t="s">
        <v>18</v>
      </c>
      <c r="D31" s="66" t="s">
        <v>271</v>
      </c>
      <c r="E31" s="172"/>
      <c r="F31" s="175" t="s">
        <v>69</v>
      </c>
      <c r="G31" s="181" t="s">
        <v>69</v>
      </c>
      <c r="H31" s="180">
        <f t="shared" si="0"/>
      </c>
      <c r="I31" s="67"/>
    </row>
    <row r="32" spans="1:9" ht="12.75">
      <c r="A32" s="67" t="str">
        <f>IF(ISNA(VLOOKUP(C32,'Tableau entretien DL'!$A$7:$O$100,9,FALSE)),"",VLOOKUP(C32,'Tableau entretien DL'!$A$7:$O$100,9,FALSE))</f>
        <v>I</v>
      </c>
      <c r="B32" s="67" t="s">
        <v>14</v>
      </c>
      <c r="C32" s="67" t="s">
        <v>204</v>
      </c>
      <c r="D32" s="66" t="s">
        <v>271</v>
      </c>
      <c r="E32" s="172" t="s">
        <v>158</v>
      </c>
      <c r="F32" s="175">
        <v>0.006944444444444444</v>
      </c>
      <c r="G32" s="181">
        <v>0.003472222222222222</v>
      </c>
      <c r="H32" s="180">
        <f t="shared" si="0"/>
        <v>4.583333333333333</v>
      </c>
      <c r="I32" s="67"/>
    </row>
    <row r="33" spans="1:9" ht="12.75">
      <c r="A33" s="67" t="str">
        <f>IF(ISNA(VLOOKUP(C33,'Tableau entretien DL'!$A$7:$O$100,9,FALSE)),"",VLOOKUP(C33,'Tableau entretien DL'!$A$7:$O$100,9,FALSE))</f>
        <v>I</v>
      </c>
      <c r="B33" s="67" t="s">
        <v>14</v>
      </c>
      <c r="C33" s="67" t="s">
        <v>205</v>
      </c>
      <c r="D33" s="66" t="s">
        <v>271</v>
      </c>
      <c r="E33" s="172" t="s">
        <v>158</v>
      </c>
      <c r="F33" s="175">
        <v>0.006944444444444444</v>
      </c>
      <c r="G33" s="181">
        <v>0.003472222222222222</v>
      </c>
      <c r="H33" s="180">
        <f t="shared" si="0"/>
        <v>4.583333333333333</v>
      </c>
      <c r="I33" s="67"/>
    </row>
    <row r="34" spans="1:9" ht="12.75">
      <c r="A34" s="67">
        <f>IF(ISNA(VLOOKUP(C34,'Tableau entretien DL'!$A$7:$O$100,9,FALSE)),"",VLOOKUP(C34,'Tableau entretien DL'!$A$7:$O$100,9,FALSE))</f>
      </c>
      <c r="B34" s="67" t="s">
        <v>14</v>
      </c>
      <c r="C34" s="67" t="s">
        <v>206</v>
      </c>
      <c r="D34" s="66" t="s">
        <v>271</v>
      </c>
      <c r="E34" s="172" t="s">
        <v>159</v>
      </c>
      <c r="F34" s="175">
        <v>0.041666666666666664</v>
      </c>
      <c r="G34" s="181">
        <v>0.013888888888888888</v>
      </c>
      <c r="H34" s="180">
        <f t="shared" si="0"/>
        <v>18.333333333333332</v>
      </c>
      <c r="I34" s="67"/>
    </row>
    <row r="35" spans="1:9" ht="12.75">
      <c r="A35" s="67">
        <f>IF(ISNA(VLOOKUP(C35,'Tableau entretien DL'!$A$7:$O$100,9,FALSE)),"",VLOOKUP(C35,'Tableau entretien DL'!$A$7:$O$100,9,FALSE))</f>
      </c>
      <c r="B35" s="67" t="s">
        <v>14</v>
      </c>
      <c r="C35" s="67" t="s">
        <v>207</v>
      </c>
      <c r="D35" s="66" t="s">
        <v>271</v>
      </c>
      <c r="E35" s="172" t="s">
        <v>159</v>
      </c>
      <c r="F35" s="175">
        <v>0.041666666666666664</v>
      </c>
      <c r="G35" s="181">
        <v>0.013888888888888888</v>
      </c>
      <c r="H35" s="180">
        <f t="shared" si="0"/>
        <v>18.333333333333332</v>
      </c>
      <c r="I35" s="67"/>
    </row>
    <row r="36" spans="1:9" ht="12.75">
      <c r="A36" s="67" t="str">
        <f>IF(ISNA(VLOOKUP(C36,'Tableau entretien DL'!$A$7:$O$100,9,FALSE)),"",VLOOKUP(C36,'Tableau entretien DL'!$A$7:$O$100,9,FALSE))</f>
        <v>I</v>
      </c>
      <c r="B36" s="67" t="s">
        <v>14</v>
      </c>
      <c r="C36" s="67" t="s">
        <v>208</v>
      </c>
      <c r="D36" s="66" t="s">
        <v>271</v>
      </c>
      <c r="E36" s="172" t="s">
        <v>158</v>
      </c>
      <c r="F36" s="175">
        <v>0.001388888888888889</v>
      </c>
      <c r="G36" s="181">
        <v>0.001388888888888889</v>
      </c>
      <c r="H36" s="180">
        <f t="shared" si="0"/>
        <v>1.8333333333333333</v>
      </c>
      <c r="I36" s="67" t="s">
        <v>45</v>
      </c>
    </row>
    <row r="37" spans="1:9" ht="12.75">
      <c r="A37" s="67" t="str">
        <f>IF(ISNA(VLOOKUP(C37,'Tableau entretien DL'!$A$7:$O$100,9,FALSE)),"",VLOOKUP(C37,'Tableau entretien DL'!$A$7:$O$100,9,FALSE))</f>
        <v>I</v>
      </c>
      <c r="B37" s="67" t="s">
        <v>14</v>
      </c>
      <c r="C37" s="67" t="s">
        <v>208</v>
      </c>
      <c r="D37" s="66" t="s">
        <v>271</v>
      </c>
      <c r="E37" s="172" t="s">
        <v>159</v>
      </c>
      <c r="F37" s="175">
        <v>0.027777777777777776</v>
      </c>
      <c r="G37" s="181">
        <v>0.013888888888888888</v>
      </c>
      <c r="H37" s="180">
        <f t="shared" si="0"/>
        <v>18.333333333333332</v>
      </c>
      <c r="I37" s="67"/>
    </row>
    <row r="38" spans="1:9" ht="12.75">
      <c r="A38" s="67" t="str">
        <f>IF(ISNA(VLOOKUP(C38,'Tableau entretien DL'!$A$7:$O$100,9,FALSE)),"",VLOOKUP(C38,'Tableau entretien DL'!$A$7:$O$100,9,FALSE))</f>
        <v>I</v>
      </c>
      <c r="B38" s="67" t="s">
        <v>14</v>
      </c>
      <c r="C38" s="67" t="s">
        <v>209</v>
      </c>
      <c r="D38" s="66" t="s">
        <v>271</v>
      </c>
      <c r="E38" s="172" t="s">
        <v>158</v>
      </c>
      <c r="F38" s="175">
        <v>0.001388888888888889</v>
      </c>
      <c r="G38" s="181">
        <v>0.001388888888888889</v>
      </c>
      <c r="H38" s="180">
        <f t="shared" si="0"/>
        <v>1.8333333333333333</v>
      </c>
      <c r="I38" s="67" t="s">
        <v>45</v>
      </c>
    </row>
    <row r="39" spans="1:9" ht="12.75">
      <c r="A39" s="67" t="str">
        <f>IF(ISNA(VLOOKUP(C39,'Tableau entretien DL'!$A$7:$O$100,9,FALSE)),"",VLOOKUP(C39,'Tableau entretien DL'!$A$7:$O$100,9,FALSE))</f>
        <v>I</v>
      </c>
      <c r="B39" s="67" t="s">
        <v>14</v>
      </c>
      <c r="C39" s="67" t="s">
        <v>209</v>
      </c>
      <c r="D39" s="66" t="s">
        <v>271</v>
      </c>
      <c r="E39" s="172" t="s">
        <v>159</v>
      </c>
      <c r="F39" s="175">
        <v>0.020833333333333332</v>
      </c>
      <c r="G39" s="181">
        <v>0.006944444444444444</v>
      </c>
      <c r="H39" s="180">
        <f t="shared" si="0"/>
        <v>9.166666666666666</v>
      </c>
      <c r="I39" s="67"/>
    </row>
    <row r="40" spans="1:9" ht="12.75">
      <c r="A40" s="67" t="str">
        <f>IF(ISNA(VLOOKUP(C40,'Tableau entretien DL'!$A$7:$O$100,9,FALSE)),"",VLOOKUP(C40,'Tableau entretien DL'!$A$7:$O$100,9,FALSE))</f>
        <v>I</v>
      </c>
      <c r="B40" s="67" t="s">
        <v>14</v>
      </c>
      <c r="C40" s="67" t="s">
        <v>23</v>
      </c>
      <c r="D40" s="66" t="s">
        <v>271</v>
      </c>
      <c r="E40" s="172" t="s">
        <v>158</v>
      </c>
      <c r="F40" s="175">
        <v>0.003472222222222222</v>
      </c>
      <c r="G40" s="181">
        <v>0.003472222222222222</v>
      </c>
      <c r="H40" s="180">
        <f t="shared" si="0"/>
        <v>4.583333333333333</v>
      </c>
      <c r="I40" s="67"/>
    </row>
    <row r="41" spans="1:9" ht="12.75">
      <c r="A41" s="67" t="str">
        <f>IF(ISNA(VLOOKUP(C41,'Tableau entretien DL'!$A$7:$O$100,9,FALSE)),"",VLOOKUP(C41,'Tableau entretien DL'!$A$7:$O$100,9,FALSE))</f>
        <v>I</v>
      </c>
      <c r="B41" s="67" t="s">
        <v>14</v>
      </c>
      <c r="C41" s="67" t="s">
        <v>23</v>
      </c>
      <c r="D41" s="66" t="s">
        <v>271</v>
      </c>
      <c r="E41" s="172" t="s">
        <v>159</v>
      </c>
      <c r="F41" s="175" t="s">
        <v>69</v>
      </c>
      <c r="G41" s="181">
        <v>0.020833333333333332</v>
      </c>
      <c r="H41" s="180">
        <f t="shared" si="0"/>
        <v>27.5</v>
      </c>
      <c r="I41" s="6"/>
    </row>
    <row r="42" spans="1:8" ht="12.75">
      <c r="A42" s="67" t="str">
        <f>IF(ISNA(VLOOKUP(C42,'Tableau entretien DL'!$A$7:$O$100,9,FALSE)),"",VLOOKUP(C42,'Tableau entretien DL'!$A$7:$O$100,9,FALSE))</f>
        <v>I</v>
      </c>
      <c r="B42" s="67" t="s">
        <v>14</v>
      </c>
      <c r="C42" s="67" t="s">
        <v>24</v>
      </c>
      <c r="D42" s="66" t="s">
        <v>271</v>
      </c>
      <c r="E42" s="172" t="s">
        <v>158</v>
      </c>
      <c r="F42" s="175">
        <v>0.003472222222222222</v>
      </c>
      <c r="G42" s="181">
        <v>0.003472222222222222</v>
      </c>
      <c r="H42" s="180">
        <f t="shared" si="0"/>
        <v>4.583333333333333</v>
      </c>
    </row>
    <row r="43" spans="1:9" ht="12.75">
      <c r="A43" s="67">
        <f>IF(ISNA(VLOOKUP(C43,'Tableau entretien DL'!$A$7:$O$100,9,FALSE)),"",VLOOKUP(C43,'Tableau entretien DL'!$A$7:$O$100,9,FALSE))</f>
      </c>
      <c r="B43" s="67" t="s">
        <v>14</v>
      </c>
      <c r="C43" s="67" t="s">
        <v>43</v>
      </c>
      <c r="D43" s="66" t="s">
        <v>271</v>
      </c>
      <c r="E43" s="172" t="s">
        <v>158</v>
      </c>
      <c r="F43" s="175">
        <v>0.003472222222222222</v>
      </c>
      <c r="G43" s="181">
        <v>0.003472222222222222</v>
      </c>
      <c r="H43" s="180">
        <f t="shared" si="0"/>
        <v>4.583333333333333</v>
      </c>
      <c r="I43" s="67"/>
    </row>
    <row r="44" spans="1:9" ht="12.75">
      <c r="A44" s="67" t="str">
        <f>IF(ISNA(VLOOKUP(C44,'Tableau entretien DL'!$A$7:$O$100,9,FALSE)),"",VLOOKUP(C44,'Tableau entretien DL'!$A$7:$O$100,9,FALSE))</f>
        <v>I</v>
      </c>
      <c r="B44" s="125" t="s">
        <v>14</v>
      </c>
      <c r="C44" s="68" t="s">
        <v>210</v>
      </c>
      <c r="D44" s="66" t="s">
        <v>271</v>
      </c>
      <c r="E44" s="172" t="s">
        <v>158</v>
      </c>
      <c r="F44" s="175">
        <v>0.001388888888888889</v>
      </c>
      <c r="G44" s="181">
        <v>0.0006944444444444445</v>
      </c>
      <c r="H44" s="180">
        <f t="shared" si="0"/>
        <v>0.9166666666666666</v>
      </c>
      <c r="I44" s="67"/>
    </row>
    <row r="45" spans="1:9" ht="12.75">
      <c r="A45" s="67" t="str">
        <f>IF(ISNA(VLOOKUP(C45,'Tableau entretien DL'!$A$7:$O$100,9,FALSE)),"",VLOOKUP(C45,'Tableau entretien DL'!$A$7:$O$100,9,FALSE))</f>
        <v>I</v>
      </c>
      <c r="B45" s="125" t="s">
        <v>14</v>
      </c>
      <c r="C45" s="68" t="s">
        <v>210</v>
      </c>
      <c r="D45" s="66" t="s">
        <v>271</v>
      </c>
      <c r="E45" s="172" t="s">
        <v>159</v>
      </c>
      <c r="F45" s="175" t="s">
        <v>69</v>
      </c>
      <c r="G45" s="181">
        <v>0.013888888888888888</v>
      </c>
      <c r="H45" s="180">
        <f t="shared" si="0"/>
        <v>18.333333333333332</v>
      </c>
      <c r="I45" s="67"/>
    </row>
    <row r="46" spans="1:9" ht="12.75">
      <c r="A46" s="67" t="str">
        <f>IF(ISNA(VLOOKUP(C46,'Tableau entretien DL'!$A$7:$O$100,9,FALSE)),"",VLOOKUP(C46,'Tableau entretien DL'!$A$7:$O$100,9,FALSE))</f>
        <v>I</v>
      </c>
      <c r="B46" s="125" t="s">
        <v>14</v>
      </c>
      <c r="C46" s="68" t="s">
        <v>211</v>
      </c>
      <c r="D46" s="66" t="s">
        <v>271</v>
      </c>
      <c r="E46" s="172" t="s">
        <v>158</v>
      </c>
      <c r="F46" s="175">
        <v>0.001388888888888889</v>
      </c>
      <c r="G46" s="181">
        <v>0.0006944444444444445</v>
      </c>
      <c r="H46" s="180">
        <f t="shared" si="0"/>
        <v>0.9166666666666666</v>
      </c>
      <c r="I46" s="67"/>
    </row>
    <row r="47" spans="1:9" ht="12.75">
      <c r="A47" s="67" t="str">
        <f>IF(ISNA(VLOOKUP(C47,'Tableau entretien DL'!$A$7:$O$100,9,FALSE)),"",VLOOKUP(C47,'Tableau entretien DL'!$A$7:$O$100,9,FALSE))</f>
        <v>I</v>
      </c>
      <c r="B47" s="125" t="s">
        <v>14</v>
      </c>
      <c r="C47" s="68" t="s">
        <v>211</v>
      </c>
      <c r="D47" s="66" t="s">
        <v>271</v>
      </c>
      <c r="E47" s="172" t="s">
        <v>159</v>
      </c>
      <c r="F47" s="175" t="s">
        <v>69</v>
      </c>
      <c r="G47" s="181">
        <v>0.013888888888888888</v>
      </c>
      <c r="H47" s="180">
        <f t="shared" si="0"/>
        <v>18.333333333333332</v>
      </c>
      <c r="I47" s="67"/>
    </row>
    <row r="48" spans="1:9" ht="12.75">
      <c r="A48" s="67" t="str">
        <f>IF(ISNA(VLOOKUP(C48,'Tableau entretien DL'!$A$7:$O$100,9,FALSE)),"",VLOOKUP(C48,'Tableau entretien DL'!$A$7:$O$100,9,FALSE))</f>
        <v>S</v>
      </c>
      <c r="B48" s="67" t="s">
        <v>25</v>
      </c>
      <c r="C48" s="126" t="s">
        <v>26</v>
      </c>
      <c r="D48" s="66" t="s">
        <v>271</v>
      </c>
      <c r="E48" s="172" t="s">
        <v>160</v>
      </c>
      <c r="F48" s="175">
        <v>0.003472222222222222</v>
      </c>
      <c r="G48" s="181">
        <v>0.003472222222222222</v>
      </c>
      <c r="H48" s="180">
        <f t="shared" si="0"/>
        <v>4.583333333333333</v>
      </c>
      <c r="I48" s="67"/>
    </row>
    <row r="49" spans="1:9" ht="12.75">
      <c r="A49" s="67" t="str">
        <f>IF(ISNA(VLOOKUP(C49,'Tableau entretien DL'!$A$7:$O$100,9,FALSE)),"",VLOOKUP(C49,'Tableau entretien DL'!$A$7:$O$100,9,FALSE))</f>
        <v>S</v>
      </c>
      <c r="B49" s="67" t="s">
        <v>25</v>
      </c>
      <c r="C49" s="67" t="s">
        <v>76</v>
      </c>
      <c r="D49" s="66" t="s">
        <v>271</v>
      </c>
      <c r="E49" s="172" t="s">
        <v>160</v>
      </c>
      <c r="F49" s="175">
        <v>0.006944444444444444</v>
      </c>
      <c r="G49" s="181">
        <v>0.003472222222222222</v>
      </c>
      <c r="H49" s="180">
        <f t="shared" si="0"/>
        <v>4.583333333333333</v>
      </c>
      <c r="I49" s="67"/>
    </row>
    <row r="50" spans="1:9" ht="13.5" thickBot="1">
      <c r="A50" s="67" t="str">
        <f>IF(ISNA(VLOOKUP(C50,'Tableau entretien DL'!$A$7:$O$100,9,FALSE)),"",VLOOKUP(C50,'Tableau entretien DL'!$A$7:$O$100,9,FALSE))</f>
        <v>E</v>
      </c>
      <c r="B50" s="67" t="s">
        <v>25</v>
      </c>
      <c r="C50" s="67" t="s">
        <v>142</v>
      </c>
      <c r="D50" s="66" t="s">
        <v>271</v>
      </c>
      <c r="E50" s="172" t="s">
        <v>199</v>
      </c>
      <c r="F50" s="176">
        <v>0.010416666666666666</v>
      </c>
      <c r="G50" s="182">
        <v>0.009722222222222222</v>
      </c>
      <c r="H50" s="183">
        <f t="shared" si="0"/>
        <v>12.833333333333334</v>
      </c>
      <c r="I50" s="67"/>
    </row>
    <row r="51" ht="12.75">
      <c r="A51" s="6">
        <f>IF(ISNA(VLOOKUP(C51,'Tableau entretien DL'!$A$7:$O$100,9,FALSE)),"",VLOOKUP(C51,'Tableau entretien DL'!$A$7:$O$100,9,FALSE))</f>
      </c>
    </row>
    <row r="52" spans="1:5" ht="12.75">
      <c r="A52" s="6">
        <f>IF(ISNA(VLOOKUP(C52,'Tableau entretien DL'!$A$7:$O$100,9,FALSE)),"",VLOOKUP(C52,'Tableau entretien DL'!$A$7:$O$100,9,FALSE))</f>
      </c>
      <c r="D52" s="98"/>
      <c r="E52" s="98"/>
    </row>
    <row r="53" ht="12.75">
      <c r="A53" s="6">
        <f>IF(ISNA(VLOOKUP(C53,'Tableau entretien DL'!$A$7:$O$100,9,FALSE)),"",VLOOKUP(C53,'Tableau entretien DL'!$A$7:$O$100,9,FALSE))</f>
      </c>
    </row>
    <row r="54" ht="12.75">
      <c r="A54" s="6">
        <f>IF(ISNA(VLOOKUP(C54,'Tableau entretien DL'!$A$7:$O$100,9,FALSE)),"",VLOOKUP(C54,'Tableau entretien DL'!$A$7:$O$100,9,FALSE))</f>
      </c>
    </row>
    <row r="55" ht="12.75">
      <c r="A55" s="6">
        <f>IF(ISNA(VLOOKUP(C55,'Tableau entretien DL'!$A$7:$O$100,9,FALSE)),"",VLOOKUP(C55,'Tableau entretien DL'!$A$7:$O$100,9,FALSE))</f>
      </c>
    </row>
    <row r="56" ht="12.75">
      <c r="A56" s="6">
        <f>IF(ISNA(VLOOKUP(C56,'Tableau entretien DL'!$A$7:$O$100,9,FALSE)),"",VLOOKUP(C56,'Tableau entretien DL'!$A$7:$O$100,9,FALSE))</f>
      </c>
    </row>
    <row r="57" ht="12.75">
      <c r="A57" s="6">
        <f>IF(ISNA(VLOOKUP(C57,'Tableau entretien DL'!$A$7:$O$100,9,FALSE)),"",VLOOKUP(C57,'Tableau entretien DL'!$A$7:$O$100,9,FALSE))</f>
      </c>
    </row>
    <row r="58" ht="12.75">
      <c r="A58" s="6">
        <f>IF(ISNA(VLOOKUP(C58,'Tableau entretien DL'!$A$7:$O$100,9,FALSE)),"",VLOOKUP(C58,'Tableau entretien DL'!$A$7:$O$100,9,FALSE))</f>
      </c>
    </row>
    <row r="59" ht="12.75">
      <c r="A59" s="6">
        <f>IF(ISNA(VLOOKUP(C59,'Tableau entretien DL'!$A$7:$O$100,9,FALSE)),"",VLOOKUP(C59,'Tableau entretien DL'!$A$7:$O$100,9,FALSE))</f>
      </c>
    </row>
    <row r="60" ht="12.75">
      <c r="A60" s="6">
        <f>IF(ISNA(VLOOKUP(C60,'Tableau entretien DL'!$A$7:$O$100,9,FALSE)),"",VLOOKUP(C60,'Tableau entretien DL'!$A$7:$O$100,9,FALSE))</f>
      </c>
    </row>
    <row r="61" ht="12.75">
      <c r="A61" s="132">
        <f>IF(ISNA(VLOOKUP(C61,'Tableau entretien DL'!$A$7:$O$100,8,FALSE)),"",VLOOKUP(C61,'Tableau entretien DL'!$A$7:$O$100,8,FALSE))</f>
      </c>
    </row>
    <row r="62" ht="12.75">
      <c r="A62" s="132">
        <f>IF(ISNA(VLOOKUP(C62,'Tableau entretien DL'!$A$7:$O$100,8,FALSE)),"",VLOOKUP(C62,'Tableau entretien DL'!$A$7:$O$100,8,FALSE))</f>
      </c>
    </row>
    <row r="63" ht="12.75">
      <c r="A63" s="132">
        <f>IF(ISNA(VLOOKUP(C63,'Tableau entretien DL'!$A$7:$O$100,8,FALSE)),"",VLOOKUP(C63,'Tableau entretien DL'!$A$7:$O$100,8,FALSE))</f>
      </c>
    </row>
    <row r="64" ht="12.75">
      <c r="A64" s="132">
        <f>IF(ISNA(VLOOKUP(C64,'Tableau entretien DL'!$A$7:$O$100,8,FALSE)),"",VLOOKUP(C64,'Tableau entretien DL'!$A$7:$O$100,8,FALSE))</f>
      </c>
    </row>
    <row r="65" ht="12.75">
      <c r="A65" s="132">
        <f>IF(ISNA(VLOOKUP(C65,'Tableau entretien DL'!$A$7:$O$100,8,FALSE)),"",VLOOKUP(C65,'Tableau entretien DL'!$A$7:$O$100,8,FALSE))</f>
      </c>
    </row>
    <row r="66" ht="12.75">
      <c r="A66" s="132">
        <f>IF(ISNA(VLOOKUP(C66,'Tableau entretien DL'!$A$7:$O$100,8,FALSE)),"",VLOOKUP(C66,'Tableau entretien DL'!$A$7:$O$100,8,FALSE))</f>
      </c>
    </row>
    <row r="67" ht="12.75">
      <c r="A67" s="132">
        <f>IF(ISNA(VLOOKUP(C67,'Tableau entretien DL'!$A$7:$O$100,8,FALSE)),"",VLOOKUP(C67,'Tableau entretien DL'!$A$7:$O$100,8,FALSE))</f>
      </c>
    </row>
    <row r="68" ht="12.75">
      <c r="A68" s="132">
        <f>IF(ISNA(VLOOKUP(C68,'Tableau entretien DL'!$A$7:$O$100,8,FALSE)),"",VLOOKUP(C68,'Tableau entretien DL'!$A$7:$O$100,8,FALSE))</f>
      </c>
    </row>
    <row r="69" ht="12.75">
      <c r="A69" s="132">
        <f>IF(ISNA(VLOOKUP(C69,'Tableau entretien DL'!$A$7:$O$100,8,FALSE)),"",VLOOKUP(C69,'Tableau entretien DL'!$A$7:$O$100,8,FALSE))</f>
      </c>
    </row>
    <row r="70" ht="12.75">
      <c r="A70" s="132">
        <f>IF(ISNA(VLOOKUP(C70,'Tableau entretien DL'!$A$7:$O$100,8,FALSE)),"",VLOOKUP(C70,'Tableau entretien DL'!$A$7:$O$100,8,FALSE))</f>
      </c>
    </row>
    <row r="71" ht="12.75">
      <c r="A71" s="132">
        <f>IF(ISNA(VLOOKUP(C71,'Tableau entretien DL'!$A$7:$O$100,8,FALSE)),"",VLOOKUP(C71,'Tableau entretien DL'!$A$7:$O$100,8,FALSE))</f>
      </c>
    </row>
    <row r="72" ht="12.75">
      <c r="A72" s="132">
        <f>IF(ISNA(VLOOKUP(C72,'Tableau entretien DL'!$A$7:$O$100,8,FALSE)),"",VLOOKUP(C72,'Tableau entretien DL'!$A$7:$O$100,8,FALSE))</f>
      </c>
    </row>
    <row r="73" ht="12.75">
      <c r="A73" s="132">
        <f>IF(ISNA(VLOOKUP(C73,'Tableau entretien DL'!$A$7:$O$100,8,FALSE)),"",VLOOKUP(C73,'Tableau entretien DL'!$A$7:$O$100,8,FALSE))</f>
      </c>
    </row>
    <row r="74" ht="12.75">
      <c r="A74" s="132">
        <f>IF(ISNA(VLOOKUP(C74,'Tableau entretien DL'!$A$7:$O$100,8,FALSE)),"",VLOOKUP(C74,'Tableau entretien DL'!$A$7:$O$100,8,FALSE))</f>
      </c>
    </row>
    <row r="75" ht="12.75">
      <c r="A75" s="132">
        <f>IF(ISNA(VLOOKUP(C75,'Tableau entretien DL'!$A$7:$O$100,8,FALSE)),"",VLOOKUP(C75,'Tableau entretien DL'!$A$7:$O$100,8,FALSE))</f>
      </c>
    </row>
    <row r="76" ht="12.75">
      <c r="A76" s="132">
        <f>IF(ISNA(VLOOKUP(C76,'Tableau entretien DL'!$A$7:$O$100,8,FALSE)),"",VLOOKUP(C76,'Tableau entretien DL'!$A$7:$O$100,8,FALSE))</f>
      </c>
    </row>
    <row r="77" ht="12.75">
      <c r="A77" s="132">
        <f>IF(ISNA(VLOOKUP(C77,'Tableau entretien DL'!$A$7:$O$100,8,FALSE)),"",VLOOKUP(C77,'Tableau entretien DL'!$A$7:$O$100,8,FALSE))</f>
      </c>
    </row>
    <row r="78" ht="12.75">
      <c r="A78" s="132">
        <f>IF(ISNA(VLOOKUP(C78,'Tableau entretien DL'!$A$7:$O$100,8,FALSE)),"",VLOOKUP(C78,'Tableau entretien DL'!$A$7:$O$100,8,FALSE))</f>
      </c>
    </row>
    <row r="79" ht="12.75">
      <c r="A79" s="132">
        <f>IF(ISNA(VLOOKUP(C79,'Tableau entretien DL'!$A$7:$O$100,8,FALSE)),"",VLOOKUP(C79,'Tableau entretien DL'!$A$7:$O$100,8,FALSE))</f>
      </c>
    </row>
  </sheetData>
  <sheetProtection/>
  <mergeCells count="6">
    <mergeCell ref="G9:H9"/>
    <mergeCell ref="B1:C1"/>
    <mergeCell ref="B4:C4"/>
    <mergeCell ref="B3:C3"/>
    <mergeCell ref="B7:C7"/>
    <mergeCell ref="B6:C6"/>
  </mergeCells>
  <conditionalFormatting sqref="A11:E12 A31:A60 A13:A29 F11:I30 B31:I50 A30:D30 B15:D29 E15:E30">
    <cfRule type="expression" priority="1" dxfId="14" stopIfTrue="1">
      <formula>AND(Filtre_Base_Opération="OUI",SEARCH($A11,$E11,1),LEN($A11)&gt;0,(SEARCH(TEXT(AM_Liste_Déroulante,0),$D11,1)))</formula>
    </cfRule>
    <cfRule type="expression" priority="2" dxfId="1" stopIfTrue="1">
      <formula>AND(Filtre_Base_Opération="OUI",IF(ISERR(SEARCH(TEXT(AM_Liste_Déroulante,0),$D11,1)),TRUE,FALSE))</formula>
    </cfRule>
    <cfRule type="expression" priority="3" dxfId="1" stopIfTrue="1">
      <formula>AND(Filtre_Base_Opération="OUI",OR(LEN($A11)=0,IF(ISERR(SEARCH($A11,$E11,1)),TRUE,FALSE)))</formula>
    </cfRule>
  </conditionalFormatting>
  <conditionalFormatting sqref="B13:E14">
    <cfRule type="expression" priority="7" dxfId="14" stopIfTrue="1">
      <formula>AND(Filtre_Base_Opération="OUI",SEARCH($A13,$E13,1),LEN($A13)&gt;0,(SEARCH(TEXT(AM_Liste_Déroulante,0),$D13,1)))</formula>
    </cfRule>
    <cfRule type="expression" priority="8" dxfId="1" stopIfTrue="1">
      <formula>AND(Filtre_Base_Opération="OUI",IF(ISERR(SEARCH(TEXT(AM_Liste_Déroulante,0),$D13,1)),TRUE,FALSE))</formula>
    </cfRule>
    <cfRule type="expression" priority="9" dxfId="1" stopIfTrue="1">
      <formula>AND(Filtre_Base_Opération="OUI",OR(LEN($A13)=0,IF(ISERR(SEARCH($A13,$E13,1)),TRUE,FALSE)))</formula>
    </cfRule>
  </conditionalFormatting>
  <dataValidations count="3">
    <dataValidation type="list" allowBlank="1" showInputMessage="1" showErrorMessage="1" sqref="B4 D5">
      <formula1>"OUI,NON"</formula1>
    </dataValidation>
    <dataValidation type="list" allowBlank="1" showDropDown="1" showInputMessage="1" showErrorMessage="1" errorTitle="Cellule protégé" error="Cette cellule est alimenté par le taux horraire présent sur la feuille &quot;Tableau entretien DL&quot;" sqref="C8 B7:C7">
      <formula1>TARIF_Horraire</formula1>
    </dataValidation>
    <dataValidation type="list" allowBlank="1" showDropDown="1" showInputMessage="1" showErrorMessage="1" errorTitle="Cellule protégée" error="Cellules utilisées dans les formules" sqref="B10:I10">
      <formula1>"VRAI"</formula1>
    </dataValidation>
  </dataValidations>
  <hyperlinks>
    <hyperlink ref="B1" location="'Tableau entretien DL'!A1" tooltip="tableau Entretien DL" display="Retour au tableau Entretien DL"/>
  </hyperlinks>
  <printOptions/>
  <pageMargins left="0.3937007874015748" right="0.3937007874015748" top="0.3937007874015748" bottom="0.3937007874015748" header="0.5118110236220472" footer="0.5118110236220472"/>
  <pageSetup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showGridLines="0" zoomScalePageLayoutView="0" workbookViewId="0" topLeftCell="A1">
      <pane xSplit="6" ySplit="6" topLeftCell="G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11" sqref="I11"/>
    </sheetView>
  </sheetViews>
  <sheetFormatPr defaultColWidth="11.421875" defaultRowHeight="12.75" outlineLevelCol="1"/>
  <cols>
    <col min="1" max="1" width="2.28125" style="132" bestFit="1" customWidth="1"/>
    <col min="2" max="2" width="10.8515625" style="132" bestFit="1" customWidth="1"/>
    <col min="3" max="3" width="32.421875" style="132" bestFit="1" customWidth="1"/>
    <col min="4" max="4" width="33.57421875" style="164" hidden="1" customWidth="1" outlineLevel="1"/>
    <col min="5" max="5" width="11.8515625" style="164" hidden="1" customWidth="1" outlineLevel="1"/>
    <col min="6" max="6" width="31.00390625" style="132" bestFit="1" customWidth="1" collapsed="1"/>
    <col min="7" max="7" width="7.8515625" style="132" bestFit="1" customWidth="1"/>
    <col min="8" max="8" width="6.28125" style="132" bestFit="1" customWidth="1"/>
    <col min="9" max="9" width="8.57421875" style="165" bestFit="1" customWidth="1"/>
    <col min="10" max="10" width="12.57421875" style="132" bestFit="1" customWidth="1"/>
    <col min="11" max="11" width="9.421875" style="165" bestFit="1" customWidth="1"/>
    <col min="12" max="12" width="11.57421875" style="165" bestFit="1" customWidth="1"/>
    <col min="13" max="13" width="13.7109375" style="132" bestFit="1" customWidth="1"/>
    <col min="14" max="14" width="10.57421875" style="165" bestFit="1" customWidth="1"/>
    <col min="15" max="15" width="25.57421875" style="132" customWidth="1"/>
    <col min="16" max="16" width="5.8515625" style="132" bestFit="1" customWidth="1"/>
    <col min="17" max="16384" width="11.421875" style="132" customWidth="1"/>
  </cols>
  <sheetData>
    <row r="1" spans="2:3" ht="12.75">
      <c r="B1" s="237" t="s">
        <v>242</v>
      </c>
      <c r="C1" s="237"/>
    </row>
    <row r="2" ht="15.75" customHeight="1"/>
    <row r="3" spans="2:11" ht="13.5" thickBot="1">
      <c r="B3" s="193" t="s">
        <v>239</v>
      </c>
      <c r="C3" s="130"/>
      <c r="D3" s="130"/>
      <c r="K3" s="165" t="s">
        <v>257</v>
      </c>
    </row>
    <row r="4" spans="2:4" ht="13.5" thickBot="1">
      <c r="B4" s="238" t="s">
        <v>277</v>
      </c>
      <c r="C4" s="239"/>
      <c r="D4" s="191"/>
    </row>
    <row r="5" spans="9:14" ht="12.75">
      <c r="I5" s="244" t="s">
        <v>136</v>
      </c>
      <c r="J5" s="244"/>
      <c r="K5" s="244"/>
      <c r="L5" s="244" t="s">
        <v>145</v>
      </c>
      <c r="M5" s="244"/>
      <c r="N5" s="244"/>
    </row>
    <row r="6" spans="1:15" s="167" customFormat="1" ht="12.75">
      <c r="A6" s="167" t="s">
        <v>35</v>
      </c>
      <c r="B6" s="73" t="s">
        <v>66</v>
      </c>
      <c r="C6" s="73" t="s">
        <v>65</v>
      </c>
      <c r="D6" s="166" t="s">
        <v>63</v>
      </c>
      <c r="E6" s="166" t="s">
        <v>157</v>
      </c>
      <c r="F6" s="73" t="s">
        <v>193</v>
      </c>
      <c r="G6" s="73" t="s">
        <v>60</v>
      </c>
      <c r="H6" s="73" t="s">
        <v>62</v>
      </c>
      <c r="I6" s="96" t="s">
        <v>133</v>
      </c>
      <c r="J6" s="73" t="s">
        <v>134</v>
      </c>
      <c r="K6" s="96" t="s">
        <v>135</v>
      </c>
      <c r="L6" s="96" t="s">
        <v>238</v>
      </c>
      <c r="M6" s="73" t="s">
        <v>137</v>
      </c>
      <c r="N6" s="96" t="s">
        <v>138</v>
      </c>
      <c r="O6" s="73" t="s">
        <v>64</v>
      </c>
    </row>
    <row r="7" spans="1:15" ht="12.75">
      <c r="A7" s="68" t="str">
        <f>IF(ISNA(VLOOKUP(C7,'Tableau entretien DL'!$A$7:$O$100,9,FALSE)),"",VLOOKUP(C7,'Tableau entretien DL'!$A$7:$O$100,9,FALSE))</f>
        <v>I</v>
      </c>
      <c r="B7" s="68" t="s">
        <v>1</v>
      </c>
      <c r="C7" s="68" t="s">
        <v>20</v>
      </c>
      <c r="D7" s="168" t="s">
        <v>271</v>
      </c>
      <c r="E7" s="168" t="s">
        <v>158</v>
      </c>
      <c r="F7" s="68"/>
      <c r="G7" s="68"/>
      <c r="H7" s="68"/>
      <c r="I7" s="97"/>
      <c r="J7" s="68"/>
      <c r="K7" s="97">
        <f aca="true" t="shared" si="0" ref="K7:K49">IF(ISBLANK(I7),"",J7*I7)</f>
      </c>
      <c r="L7" s="97"/>
      <c r="M7" s="68"/>
      <c r="N7" s="97">
        <f>IF(ISBLANK(L7),"",M7*L7)</f>
      </c>
      <c r="O7" s="68"/>
    </row>
    <row r="8" spans="1:15" ht="12.75">
      <c r="A8" s="68" t="str">
        <f>IF(ISNA(VLOOKUP(C8,'Tableau entretien DL'!$A$7:$O$100,9,FALSE)),"",VLOOKUP(C8,'Tableau entretien DL'!$A$7:$O$100,9,FALSE))</f>
        <v>R</v>
      </c>
      <c r="B8" s="68" t="s">
        <v>1</v>
      </c>
      <c r="C8" s="68" t="s">
        <v>2</v>
      </c>
      <c r="D8" s="168" t="s">
        <v>271</v>
      </c>
      <c r="E8" s="168" t="s">
        <v>159</v>
      </c>
      <c r="F8" s="68" t="s">
        <v>139</v>
      </c>
      <c r="G8" s="68" t="s">
        <v>140</v>
      </c>
      <c r="H8" s="68" t="s">
        <v>141</v>
      </c>
      <c r="I8" s="97">
        <v>4.78</v>
      </c>
      <c r="J8" s="68">
        <v>3</v>
      </c>
      <c r="K8" s="97">
        <f t="shared" si="0"/>
        <v>14.34</v>
      </c>
      <c r="L8" s="97">
        <f>11.7*1.196</f>
        <v>13.993199999999998</v>
      </c>
      <c r="M8" s="68">
        <v>3</v>
      </c>
      <c r="N8" s="97">
        <f>IF(ISBLANK(L8),"",M8*L8)</f>
        <v>41.97959999999999</v>
      </c>
      <c r="O8" s="68" t="str">
        <f>'Base Opération'!I12</f>
        <v>2,3 l vidange simple</v>
      </c>
    </row>
    <row r="9" spans="1:15" ht="12.75">
      <c r="A9" s="68" t="str">
        <f>IF(ISNA(VLOOKUP(C9,'Tableau entretien DL'!$A$7:$O$100,9,FALSE)),"",VLOOKUP(C9,'Tableau entretien DL'!$A$7:$O$100,9,FALSE))</f>
        <v>R</v>
      </c>
      <c r="B9" s="68" t="s">
        <v>1</v>
      </c>
      <c r="C9" s="68" t="s">
        <v>2</v>
      </c>
      <c r="D9" s="168" t="s">
        <v>271</v>
      </c>
      <c r="E9" s="168" t="s">
        <v>159</v>
      </c>
      <c r="F9" s="68" t="s">
        <v>68</v>
      </c>
      <c r="G9" s="68"/>
      <c r="H9" s="68"/>
      <c r="I9" s="97">
        <v>0.5</v>
      </c>
      <c r="J9" s="68">
        <v>1</v>
      </c>
      <c r="K9" s="97">
        <f t="shared" si="0"/>
        <v>0.5</v>
      </c>
      <c r="L9" s="97">
        <f>1*1.196</f>
        <v>1.196</v>
      </c>
      <c r="M9" s="68">
        <v>1</v>
      </c>
      <c r="N9" s="97">
        <f aca="true" t="shared" si="1" ref="N9:N48">IF(ISBLANK(L9),"",M9*L9)</f>
        <v>1.196</v>
      </c>
      <c r="O9" s="68" t="str">
        <f>'Base Opération'!I13</f>
        <v>2,7 l si changement de filtre</v>
      </c>
    </row>
    <row r="10" spans="1:15" ht="12.75">
      <c r="A10" s="68">
        <f>IF(ISNA(VLOOKUP(C10,'Tableau entretien DL'!$A$7:$O$100,9,FALSE)),"",VLOOKUP(C10,'Tableau entretien DL'!$A$7:$O$100,9,FALSE))</f>
      </c>
      <c r="B10" s="68" t="s">
        <v>1</v>
      </c>
      <c r="C10" s="68" t="s">
        <v>3</v>
      </c>
      <c r="D10" s="168" t="s">
        <v>271</v>
      </c>
      <c r="E10" s="168" t="s">
        <v>159</v>
      </c>
      <c r="F10" s="68" t="s">
        <v>3</v>
      </c>
      <c r="G10" s="68"/>
      <c r="H10" s="68"/>
      <c r="I10" s="97">
        <v>6</v>
      </c>
      <c r="J10" s="68">
        <v>1</v>
      </c>
      <c r="K10" s="97">
        <f t="shared" si="0"/>
        <v>6</v>
      </c>
      <c r="L10" s="97">
        <f>9.2*1.196</f>
        <v>11.003199999999998</v>
      </c>
      <c r="M10" s="68">
        <v>1</v>
      </c>
      <c r="N10" s="97">
        <f t="shared" si="1"/>
        <v>11.003199999999998</v>
      </c>
      <c r="O10" s="68"/>
    </row>
    <row r="11" spans="1:15" ht="12.75">
      <c r="A11" s="68" t="str">
        <f>IF(ISNA(VLOOKUP(C11,'Tableau entretien DL'!$A$7:$O$100,9,FALSE)),"",VLOOKUP(C11,'Tableau entretien DL'!$A$7:$O$100,9,FALSE))</f>
        <v>I</v>
      </c>
      <c r="B11" s="68" t="s">
        <v>1</v>
      </c>
      <c r="C11" s="68" t="s">
        <v>19</v>
      </c>
      <c r="D11" s="168" t="s">
        <v>271</v>
      </c>
      <c r="E11" s="168" t="s">
        <v>159</v>
      </c>
      <c r="F11" s="68" t="s">
        <v>74</v>
      </c>
      <c r="G11" s="68"/>
      <c r="H11" s="68"/>
      <c r="I11" s="97">
        <v>29.13</v>
      </c>
      <c r="J11" s="68">
        <v>1</v>
      </c>
      <c r="K11" s="97">
        <f t="shared" si="0"/>
        <v>29.13</v>
      </c>
      <c r="L11" s="97">
        <f>24.36*1.196</f>
        <v>29.134559999999997</v>
      </c>
      <c r="M11" s="68">
        <v>1</v>
      </c>
      <c r="N11" s="97">
        <f t="shared" si="1"/>
        <v>29.134559999999997</v>
      </c>
      <c r="O11" s="68"/>
    </row>
    <row r="12" spans="1:15" ht="12.75">
      <c r="A12" s="68" t="str">
        <f>IF(ISNA(VLOOKUP(C12,'Tableau entretien DL'!$A$7:$O$100,9,FALSE)),"",VLOOKUP(C12,'Tableau entretien DL'!$A$7:$O$100,9,FALSE))</f>
        <v>I</v>
      </c>
      <c r="B12" s="68" t="s">
        <v>1</v>
      </c>
      <c r="C12" s="68" t="s">
        <v>4</v>
      </c>
      <c r="D12" s="168" t="s">
        <v>271</v>
      </c>
      <c r="E12" s="168"/>
      <c r="F12" s="68"/>
      <c r="G12" s="68"/>
      <c r="H12" s="68"/>
      <c r="I12" s="97"/>
      <c r="J12" s="68"/>
      <c r="K12" s="97">
        <f t="shared" si="0"/>
      </c>
      <c r="L12" s="97"/>
      <c r="M12" s="68"/>
      <c r="N12" s="97">
        <f t="shared" si="1"/>
      </c>
      <c r="O12" s="68"/>
    </row>
    <row r="13" spans="1:15" ht="12.75">
      <c r="A13" s="68" t="str">
        <f>IF(ISNA(VLOOKUP(C13,'Tableau entretien DL'!$A$7:$O$100,9,FALSE)),"",VLOOKUP(C13,'Tableau entretien DL'!$A$7:$O$100,9,FALSE))</f>
        <v>I</v>
      </c>
      <c r="B13" s="68" t="s">
        <v>1</v>
      </c>
      <c r="C13" s="68" t="s">
        <v>5</v>
      </c>
      <c r="D13" s="168" t="s">
        <v>271</v>
      </c>
      <c r="E13" s="168"/>
      <c r="F13" s="68"/>
      <c r="G13" s="68"/>
      <c r="H13" s="68"/>
      <c r="I13" s="97"/>
      <c r="J13" s="68"/>
      <c r="K13" s="97">
        <f t="shared" si="0"/>
      </c>
      <c r="L13" s="97"/>
      <c r="M13" s="68"/>
      <c r="N13" s="97">
        <f t="shared" si="1"/>
      </c>
      <c r="O13" s="68"/>
    </row>
    <row r="14" spans="1:15" ht="12.75">
      <c r="A14" s="68" t="str">
        <f>IF(ISNA(VLOOKUP(C14,'Tableau entretien DL'!$A$7:$O$100,9,FALSE)),"",VLOOKUP(C14,'Tableau entretien DL'!$A$7:$O$100,9,FALSE))</f>
        <v>I</v>
      </c>
      <c r="B14" s="68" t="s">
        <v>1</v>
      </c>
      <c r="C14" s="68" t="s">
        <v>6</v>
      </c>
      <c r="D14" s="168" t="s">
        <v>271</v>
      </c>
      <c r="E14" s="168"/>
      <c r="F14" s="68"/>
      <c r="G14" s="68"/>
      <c r="H14" s="68"/>
      <c r="I14" s="97"/>
      <c r="J14" s="68"/>
      <c r="K14" s="97">
        <f t="shared" si="0"/>
      </c>
      <c r="L14" s="97"/>
      <c r="M14" s="68"/>
      <c r="N14" s="97">
        <f t="shared" si="1"/>
      </c>
      <c r="O14" s="68"/>
    </row>
    <row r="15" spans="1:15" ht="12.75">
      <c r="A15" s="68" t="str">
        <f>IF(ISNA(VLOOKUP(C15,'Tableau entretien DL'!$A$7:$O$100,9,FALSE)),"",VLOOKUP(C15,'Tableau entretien DL'!$A$7:$O$100,9,FALSE))</f>
        <v>I</v>
      </c>
      <c r="B15" s="68" t="s">
        <v>1</v>
      </c>
      <c r="C15" s="68" t="s">
        <v>7</v>
      </c>
      <c r="D15" s="168" t="s">
        <v>271</v>
      </c>
      <c r="E15" s="168"/>
      <c r="F15" s="68"/>
      <c r="G15" s="68"/>
      <c r="H15" s="68"/>
      <c r="I15" s="97"/>
      <c r="J15" s="68"/>
      <c r="K15" s="97">
        <f t="shared" si="0"/>
      </c>
      <c r="L15" s="97"/>
      <c r="M15" s="68"/>
      <c r="N15" s="97">
        <f t="shared" si="1"/>
      </c>
      <c r="O15" s="68"/>
    </row>
    <row r="16" spans="1:15" ht="12.75">
      <c r="A16" s="68" t="str">
        <f>IF(ISNA(VLOOKUP(C16,'Tableau entretien DL'!$A$7:$O$100,9,FALSE)),"",VLOOKUP(C16,'Tableau entretien DL'!$A$7:$O$100,9,FALSE))</f>
        <v>R</v>
      </c>
      <c r="B16" s="68" t="s">
        <v>1</v>
      </c>
      <c r="C16" s="68" t="s">
        <v>8</v>
      </c>
      <c r="D16" s="168" t="s">
        <v>67</v>
      </c>
      <c r="E16" s="168" t="s">
        <v>159</v>
      </c>
      <c r="F16" s="68" t="s">
        <v>143</v>
      </c>
      <c r="G16" s="68" t="s">
        <v>61</v>
      </c>
      <c r="H16" s="68" t="s">
        <v>154</v>
      </c>
      <c r="I16" s="97">
        <v>9</v>
      </c>
      <c r="J16" s="68">
        <v>2</v>
      </c>
      <c r="K16" s="97">
        <f t="shared" si="0"/>
        <v>18</v>
      </c>
      <c r="L16" s="97">
        <f>8.36*1.196</f>
        <v>9.99856</v>
      </c>
      <c r="M16" s="68">
        <v>2</v>
      </c>
      <c r="N16" s="97">
        <f t="shared" si="1"/>
        <v>19.99712</v>
      </c>
      <c r="O16" s="68"/>
    </row>
    <row r="17" spans="1:15" ht="12.75">
      <c r="A17" s="68" t="str">
        <f>IF(ISNA(VLOOKUP(C17,'Tableau entretien DL'!$A$7:$O$100,9,FALSE)),"",VLOOKUP(C17,'Tableau entretien DL'!$A$7:$O$100,9,FALSE))</f>
        <v>R</v>
      </c>
      <c r="B17" s="68" t="s">
        <v>1</v>
      </c>
      <c r="C17" s="68" t="s">
        <v>8</v>
      </c>
      <c r="D17" s="168" t="s">
        <v>272</v>
      </c>
      <c r="E17" s="168" t="s">
        <v>159</v>
      </c>
      <c r="F17" s="68" t="s">
        <v>143</v>
      </c>
      <c r="G17" s="68" t="s">
        <v>61</v>
      </c>
      <c r="H17" s="68" t="s">
        <v>154</v>
      </c>
      <c r="I17" s="97">
        <v>6.3</v>
      </c>
      <c r="J17" s="68">
        <v>4</v>
      </c>
      <c r="K17" s="97">
        <f t="shared" si="0"/>
        <v>25.2</v>
      </c>
      <c r="L17" s="97">
        <f>8.36*1.196</f>
        <v>9.99856</v>
      </c>
      <c r="M17" s="68">
        <v>4</v>
      </c>
      <c r="N17" s="97">
        <f t="shared" si="1"/>
        <v>39.99424</v>
      </c>
      <c r="O17" s="68"/>
    </row>
    <row r="18" spans="1:15" ht="12.75">
      <c r="A18" s="68">
        <f>IF(ISNA(VLOOKUP(C18,'Tableau entretien DL'!$A$7:$O$100,9,FALSE)),"",VLOOKUP(C18,'Tableau entretien DL'!$A$7:$O$100,9,FALSE))</f>
      </c>
      <c r="B18" s="68" t="s">
        <v>1</v>
      </c>
      <c r="C18" s="68" t="s">
        <v>21</v>
      </c>
      <c r="D18" s="168" t="s">
        <v>271</v>
      </c>
      <c r="E18" s="168"/>
      <c r="F18" s="68" t="s">
        <v>101</v>
      </c>
      <c r="G18" s="68"/>
      <c r="H18" s="68"/>
      <c r="I18" s="97"/>
      <c r="J18" s="68"/>
      <c r="K18" s="97">
        <f t="shared" si="0"/>
      </c>
      <c r="L18" s="97"/>
      <c r="M18" s="68"/>
      <c r="N18" s="97">
        <f t="shared" si="1"/>
      </c>
      <c r="O18" s="68"/>
    </row>
    <row r="19" spans="1:15" ht="12.75">
      <c r="A19" s="68" t="str">
        <f>IF(ISNA(VLOOKUP(C19,'Tableau entretien DL'!$A$7:$O$100,9,FALSE)),"",VLOOKUP(C19,'Tableau entretien DL'!$A$7:$O$100,9,FALSE))</f>
        <v>I</v>
      </c>
      <c r="B19" s="68" t="s">
        <v>1</v>
      </c>
      <c r="C19" s="68" t="s">
        <v>9</v>
      </c>
      <c r="D19" s="168" t="s">
        <v>271</v>
      </c>
      <c r="E19" s="168"/>
      <c r="F19" s="68"/>
      <c r="G19" s="68"/>
      <c r="H19" s="68"/>
      <c r="I19" s="97"/>
      <c r="J19" s="68"/>
      <c r="K19" s="97">
        <f t="shared" si="0"/>
      </c>
      <c r="L19" s="97"/>
      <c r="M19" s="68"/>
      <c r="N19" s="97">
        <f t="shared" si="1"/>
      </c>
      <c r="O19" s="68"/>
    </row>
    <row r="20" spans="1:15" ht="12.75">
      <c r="A20" s="68">
        <f>IF(ISNA(VLOOKUP(C20,'Tableau entretien DL'!$A$7:$O$100,9,FALSE)),"",VLOOKUP(C20,'Tableau entretien DL'!$A$7:$O$100,9,FALSE))</f>
      </c>
      <c r="B20" s="68" t="s">
        <v>1</v>
      </c>
      <c r="C20" s="68" t="s">
        <v>10</v>
      </c>
      <c r="D20" s="168" t="s">
        <v>271</v>
      </c>
      <c r="E20" s="168" t="s">
        <v>158</v>
      </c>
      <c r="F20" s="68" t="s">
        <v>149</v>
      </c>
      <c r="G20" s="68"/>
      <c r="H20" s="68"/>
      <c r="I20" s="97"/>
      <c r="J20" s="68"/>
      <c r="K20" s="97">
        <f t="shared" si="0"/>
      </c>
      <c r="L20" s="97">
        <f>5.54*1.196</f>
        <v>6.62584</v>
      </c>
      <c r="M20" s="68">
        <v>1</v>
      </c>
      <c r="N20" s="97">
        <f t="shared" si="1"/>
        <v>6.62584</v>
      </c>
      <c r="O20" s="68"/>
    </row>
    <row r="21" spans="1:15" ht="12.75">
      <c r="A21" s="68" t="str">
        <f>IF(ISNA(VLOOKUP(C21,'Tableau entretien DL'!$A$7:$O$100,9,FALSE)),"",VLOOKUP(C21,'Tableau entretien DL'!$A$7:$O$100,9,FALSE))</f>
        <v>I</v>
      </c>
      <c r="B21" s="68" t="s">
        <v>1</v>
      </c>
      <c r="C21" s="68" t="s">
        <v>11</v>
      </c>
      <c r="D21" s="168" t="s">
        <v>271</v>
      </c>
      <c r="E21" s="168" t="s">
        <v>159</v>
      </c>
      <c r="F21" s="68" t="s">
        <v>146</v>
      </c>
      <c r="G21" s="68"/>
      <c r="H21" s="68"/>
      <c r="I21" s="97"/>
      <c r="J21" s="68"/>
      <c r="K21" s="97">
        <f t="shared" si="0"/>
      </c>
      <c r="L21" s="97">
        <f>25.87*1.192</f>
        <v>30.83704</v>
      </c>
      <c r="M21" s="68">
        <v>1</v>
      </c>
      <c r="N21" s="97">
        <f t="shared" si="1"/>
        <v>30.83704</v>
      </c>
      <c r="O21" s="68"/>
    </row>
    <row r="22" spans="1:15" ht="12.75">
      <c r="A22" s="68" t="str">
        <f>IF(ISNA(VLOOKUP(C22,'Tableau entretien DL'!$A$7:$O$100,9,FALSE)),"",VLOOKUP(C22,'Tableau entretien DL'!$A$7:$O$100,9,FALSE))</f>
        <v>I</v>
      </c>
      <c r="B22" s="68" t="s">
        <v>1</v>
      </c>
      <c r="C22" s="68" t="s">
        <v>11</v>
      </c>
      <c r="D22" s="168" t="s">
        <v>271</v>
      </c>
      <c r="E22" s="168" t="s">
        <v>159</v>
      </c>
      <c r="F22" s="68" t="s">
        <v>147</v>
      </c>
      <c r="G22" s="68"/>
      <c r="H22" s="68"/>
      <c r="I22" s="97"/>
      <c r="J22" s="68"/>
      <c r="K22" s="97">
        <f t="shared" si="0"/>
      </c>
      <c r="L22" s="97">
        <f>10.37*1.196</f>
        <v>12.402519999999999</v>
      </c>
      <c r="M22" s="68">
        <v>7</v>
      </c>
      <c r="N22" s="97">
        <f t="shared" si="1"/>
        <v>86.81764</v>
      </c>
      <c r="O22" s="68"/>
    </row>
    <row r="23" spans="1:15" ht="12.75">
      <c r="A23" s="68" t="str">
        <f>IF(ISNA(VLOOKUP(C23,'Tableau entretien DL'!$A$7:$O$100,9,FALSE)),"",VLOOKUP(C23,'Tableau entretien DL'!$A$7:$O$100,9,FALSE))</f>
        <v>I</v>
      </c>
      <c r="B23" s="68" t="s">
        <v>1</v>
      </c>
      <c r="C23" s="68" t="s">
        <v>11</v>
      </c>
      <c r="D23" s="168" t="s">
        <v>271</v>
      </c>
      <c r="E23" s="168" t="s">
        <v>159</v>
      </c>
      <c r="F23" s="68" t="s">
        <v>148</v>
      </c>
      <c r="G23" s="68"/>
      <c r="H23" s="68"/>
      <c r="I23" s="97"/>
      <c r="J23" s="68"/>
      <c r="K23" s="97">
        <f t="shared" si="0"/>
      </c>
      <c r="L23" s="97">
        <f>5.46*1.196</f>
        <v>6.5301599999999995</v>
      </c>
      <c r="M23" s="68">
        <v>6</v>
      </c>
      <c r="N23" s="97">
        <f t="shared" si="1"/>
        <v>39.18096</v>
      </c>
      <c r="O23" s="68"/>
    </row>
    <row r="24" spans="1:15" ht="12.75">
      <c r="A24" s="68" t="str">
        <f>IF(ISNA(VLOOKUP(C24,'Tableau entretien DL'!$A$7:$O$100,9,FALSE)),"",VLOOKUP(C24,'Tableau entretien DL'!$A$7:$O$100,9,FALSE))</f>
        <v>I</v>
      </c>
      <c r="B24" s="68" t="s">
        <v>1</v>
      </c>
      <c r="C24" s="68" t="s">
        <v>11</v>
      </c>
      <c r="D24" s="168" t="s">
        <v>271</v>
      </c>
      <c r="E24" s="168" t="s">
        <v>159</v>
      </c>
      <c r="F24" s="68" t="s">
        <v>149</v>
      </c>
      <c r="G24" s="68"/>
      <c r="H24" s="68"/>
      <c r="I24" s="97"/>
      <c r="J24" s="68"/>
      <c r="K24" s="97">
        <f t="shared" si="0"/>
      </c>
      <c r="L24" s="97">
        <f>10.73*1.196</f>
        <v>12.83308</v>
      </c>
      <c r="M24" s="68">
        <v>1</v>
      </c>
      <c r="N24" s="97">
        <f t="shared" si="1"/>
        <v>12.83308</v>
      </c>
      <c r="O24" s="68"/>
    </row>
    <row r="25" spans="1:15" ht="12.75">
      <c r="A25" s="68" t="str">
        <f>IF(ISNA(VLOOKUP(C25,'Tableau entretien DL'!$A$7:$O$100,9,FALSE)),"",VLOOKUP(C25,'Tableau entretien DL'!$A$7:$O$100,9,FALSE))</f>
        <v>I</v>
      </c>
      <c r="B25" s="68" t="s">
        <v>1</v>
      </c>
      <c r="C25" s="68" t="s">
        <v>11</v>
      </c>
      <c r="D25" s="168" t="s">
        <v>271</v>
      </c>
      <c r="E25" s="168" t="s">
        <v>159</v>
      </c>
      <c r="F25" s="68" t="s">
        <v>150</v>
      </c>
      <c r="G25" s="68"/>
      <c r="H25" s="68"/>
      <c r="I25" s="97"/>
      <c r="J25" s="68"/>
      <c r="K25" s="97">
        <f t="shared" si="0"/>
      </c>
      <c r="L25" s="97">
        <f>5.96*1.196</f>
        <v>7.128159999999999</v>
      </c>
      <c r="M25" s="68">
        <v>1</v>
      </c>
      <c r="N25" s="97">
        <f t="shared" si="1"/>
        <v>7.128159999999999</v>
      </c>
      <c r="O25" s="68"/>
    </row>
    <row r="26" spans="1:15" ht="12.75">
      <c r="A26" s="68" t="str">
        <f>IF(ISNA(VLOOKUP(C26,'Tableau entretien DL'!$A$7:$O$100,9,FALSE)),"",VLOOKUP(C26,'Tableau entretien DL'!$A$7:$O$100,9,FALSE))</f>
        <v>I</v>
      </c>
      <c r="B26" s="68" t="s">
        <v>1</v>
      </c>
      <c r="C26" s="68" t="s">
        <v>11</v>
      </c>
      <c r="D26" s="168" t="s">
        <v>271</v>
      </c>
      <c r="E26" s="168" t="s">
        <v>159</v>
      </c>
      <c r="F26" s="68" t="s">
        <v>151</v>
      </c>
      <c r="G26" s="68"/>
      <c r="H26" s="68"/>
      <c r="I26" s="97"/>
      <c r="J26" s="68"/>
      <c r="K26" s="97">
        <f t="shared" si="0"/>
      </c>
      <c r="L26" s="97">
        <f>4.58*1.196</f>
        <v>5.477679999999999</v>
      </c>
      <c r="M26" s="68">
        <v>6</v>
      </c>
      <c r="N26" s="97">
        <f t="shared" si="1"/>
        <v>32.86608</v>
      </c>
      <c r="O26" s="68"/>
    </row>
    <row r="27" spans="1:15" ht="12.75">
      <c r="A27" s="68">
        <f>IF(ISNA(VLOOKUP(C27,'Tableau entretien DL'!$A$7:$O$100,9,FALSE)),"",VLOOKUP(C27,'Tableau entretien DL'!$A$7:$O$100,9,FALSE))</f>
      </c>
      <c r="B27" s="68" t="s">
        <v>12</v>
      </c>
      <c r="C27" s="68" t="s">
        <v>13</v>
      </c>
      <c r="D27" s="168" t="s">
        <v>271</v>
      </c>
      <c r="E27" s="168" t="s">
        <v>159</v>
      </c>
      <c r="F27" s="68"/>
      <c r="G27" s="68"/>
      <c r="H27" s="68"/>
      <c r="I27" s="97">
        <v>57.1</v>
      </c>
      <c r="J27" s="68">
        <v>1</v>
      </c>
      <c r="K27" s="97">
        <f t="shared" si="0"/>
        <v>57.1</v>
      </c>
      <c r="L27" s="97"/>
      <c r="M27" s="68"/>
      <c r="N27" s="97">
        <f t="shared" si="1"/>
      </c>
      <c r="O27" s="68"/>
    </row>
    <row r="28" spans="1:15" ht="12.75">
      <c r="A28" s="68" t="str">
        <f>IF(ISNA(VLOOKUP(C28,'Tableau entretien DL'!$A$7:$O$100,9,FALSE)),"",VLOOKUP(C28,'Tableau entretien DL'!$A$7:$O$100,9,FALSE))</f>
        <v>I</v>
      </c>
      <c r="B28" s="68" t="s">
        <v>14</v>
      </c>
      <c r="C28" s="68" t="s">
        <v>15</v>
      </c>
      <c r="D28" s="168" t="s">
        <v>271</v>
      </c>
      <c r="E28" s="168"/>
      <c r="F28" s="68"/>
      <c r="G28" s="68"/>
      <c r="H28" s="68"/>
      <c r="I28" s="97"/>
      <c r="J28" s="68"/>
      <c r="K28" s="97">
        <f t="shared" si="0"/>
      </c>
      <c r="L28" s="97"/>
      <c r="M28" s="68"/>
      <c r="N28" s="97">
        <f t="shared" si="1"/>
      </c>
      <c r="O28" s="68"/>
    </row>
    <row r="29" spans="1:15" ht="12.75">
      <c r="A29" s="68">
        <f>IF(ISNA(VLOOKUP(C29,'Tableau entretien DL'!$A$7:$O$100,9,FALSE)),"",VLOOKUP(C29,'Tableau entretien DL'!$A$7:$O$100,9,FALSE))</f>
      </c>
      <c r="B29" s="68" t="s">
        <v>14</v>
      </c>
      <c r="C29" s="68" t="s">
        <v>16</v>
      </c>
      <c r="D29" s="168" t="s">
        <v>271</v>
      </c>
      <c r="E29" s="168" t="s">
        <v>159</v>
      </c>
      <c r="F29" s="68" t="s">
        <v>100</v>
      </c>
      <c r="G29" s="68"/>
      <c r="H29" s="68"/>
      <c r="I29" s="97"/>
      <c r="J29" s="68"/>
      <c r="K29" s="97">
        <f t="shared" si="0"/>
      </c>
      <c r="L29" s="97">
        <v>17.5</v>
      </c>
      <c r="M29" s="68">
        <v>2</v>
      </c>
      <c r="N29" s="97">
        <f>IF(ISBLANK(L29),"",M29*L29)</f>
        <v>35</v>
      </c>
      <c r="O29" s="68" t="str">
        <f>'Base Opération'!I27</f>
        <v>524 ml d'huile ss 08</v>
      </c>
    </row>
    <row r="30" spans="1:15" ht="12.75">
      <c r="A30" s="68" t="str">
        <f>IF(ISNA(VLOOKUP(C30,'Tableau entretien DL'!$A$7:$O$100,9,FALSE)),"",VLOOKUP(C30,'Tableau entretien DL'!$A$7:$O$100,9,FALSE))</f>
        <v>I</v>
      </c>
      <c r="B30" s="68" t="s">
        <v>14</v>
      </c>
      <c r="C30" s="68" t="s">
        <v>17</v>
      </c>
      <c r="D30" s="168" t="s">
        <v>271</v>
      </c>
      <c r="E30" s="168"/>
      <c r="F30" s="68"/>
      <c r="G30" s="68"/>
      <c r="H30" s="68"/>
      <c r="I30" s="97"/>
      <c r="J30" s="68"/>
      <c r="K30" s="97">
        <f t="shared" si="0"/>
      </c>
      <c r="L30" s="97"/>
      <c r="M30" s="68"/>
      <c r="N30" s="97">
        <f t="shared" si="1"/>
      </c>
      <c r="O30" s="68"/>
    </row>
    <row r="31" spans="1:15" ht="12.75">
      <c r="A31" s="68" t="str">
        <f>IF(ISNA(VLOOKUP(C31,'Tableau entretien DL'!$A$7:$O$100,9,FALSE)),"",VLOOKUP(C31,'Tableau entretien DL'!$A$7:$O$100,9,FALSE))</f>
        <v>I</v>
      </c>
      <c r="B31" s="68" t="s">
        <v>14</v>
      </c>
      <c r="C31" s="68" t="s">
        <v>75</v>
      </c>
      <c r="D31" s="168" t="s">
        <v>271</v>
      </c>
      <c r="E31" s="168" t="s">
        <v>159</v>
      </c>
      <c r="F31" s="68" t="s">
        <v>273</v>
      </c>
      <c r="G31" s="68"/>
      <c r="H31" s="68"/>
      <c r="I31" s="97"/>
      <c r="J31" s="68"/>
      <c r="K31" s="97">
        <f t="shared" si="0"/>
      </c>
      <c r="L31" s="97">
        <v>37.85</v>
      </c>
      <c r="M31" s="68">
        <v>2</v>
      </c>
      <c r="N31" s="97">
        <f t="shared" si="1"/>
        <v>75.7</v>
      </c>
      <c r="O31" s="68"/>
    </row>
    <row r="32" spans="1:15" ht="12.75">
      <c r="A32" s="68" t="str">
        <f>IF(ISNA(VLOOKUP(C32,'Tableau entretien DL'!$A$7:$O$100,9,FALSE)),"",VLOOKUP(C32,'Tableau entretien DL'!$A$7:$O$100,9,FALSE))</f>
        <v>I</v>
      </c>
      <c r="B32" s="68" t="s">
        <v>14</v>
      </c>
      <c r="C32" s="68" t="s">
        <v>75</v>
      </c>
      <c r="D32" s="168" t="s">
        <v>271</v>
      </c>
      <c r="E32" s="168" t="s">
        <v>159</v>
      </c>
      <c r="F32" s="68" t="s">
        <v>274</v>
      </c>
      <c r="G32" s="68"/>
      <c r="H32" s="68"/>
      <c r="I32" s="97"/>
      <c r="J32" s="68"/>
      <c r="K32" s="97">
        <f>IF(ISBLANK(I32),"",J32*I32)</f>
      </c>
      <c r="L32" s="97">
        <v>17.75</v>
      </c>
      <c r="M32" s="68">
        <v>2</v>
      </c>
      <c r="N32" s="97">
        <f>IF(ISBLANK(L32),"",M32*L32)</f>
        <v>35.5</v>
      </c>
      <c r="O32" s="68"/>
    </row>
    <row r="33" spans="1:15" ht="12.75">
      <c r="A33" s="68">
        <f>IF(ISNA(VLOOKUP(C33,'Tableau entretien DL'!$A$7:$O$100,9,FALSE)),"",VLOOKUP(C33,'Tableau entretien DL'!$A$7:$O$100,9,FALSE))</f>
      </c>
      <c r="B33" s="68" t="s">
        <v>14</v>
      </c>
      <c r="C33" s="68" t="s">
        <v>18</v>
      </c>
      <c r="D33" s="168" t="s">
        <v>271</v>
      </c>
      <c r="E33" s="168"/>
      <c r="F33" s="68"/>
      <c r="G33" s="68"/>
      <c r="H33" s="68"/>
      <c r="I33" s="97"/>
      <c r="J33" s="68"/>
      <c r="K33" s="97">
        <f t="shared" si="0"/>
      </c>
      <c r="L33" s="97"/>
      <c r="M33" s="68"/>
      <c r="N33" s="97">
        <f t="shared" si="1"/>
      </c>
      <c r="O33" s="68"/>
    </row>
    <row r="34" spans="1:15" ht="12.75">
      <c r="A34" s="68" t="str">
        <f>IF(ISNA(VLOOKUP(C34,'Tableau entretien DL'!$A$7:$O$100,9,FALSE)),"",VLOOKUP(C34,'Tableau entretien DL'!$A$7:$O$100,9,FALSE))</f>
        <v>I</v>
      </c>
      <c r="B34" s="68" t="s">
        <v>14</v>
      </c>
      <c r="C34" s="68" t="s">
        <v>204</v>
      </c>
      <c r="D34" s="168" t="s">
        <v>271</v>
      </c>
      <c r="E34" s="168"/>
      <c r="F34" s="68"/>
      <c r="G34" s="68"/>
      <c r="H34" s="68"/>
      <c r="I34" s="97"/>
      <c r="J34" s="68"/>
      <c r="K34" s="97">
        <f t="shared" si="0"/>
      </c>
      <c r="L34" s="97"/>
      <c r="M34" s="68"/>
      <c r="N34" s="97">
        <f t="shared" si="1"/>
      </c>
      <c r="O34" s="68"/>
    </row>
    <row r="35" spans="1:15" ht="12.75">
      <c r="A35" s="68" t="str">
        <f>IF(ISNA(VLOOKUP(C35,'Tableau entretien DL'!$A$7:$O$100,9,FALSE)),"",VLOOKUP(C35,'Tableau entretien DL'!$A$7:$O$100,9,FALSE))</f>
        <v>I</v>
      </c>
      <c r="B35" s="68" t="s">
        <v>14</v>
      </c>
      <c r="C35" s="68" t="s">
        <v>205</v>
      </c>
      <c r="D35" s="168" t="s">
        <v>271</v>
      </c>
      <c r="E35" s="168"/>
      <c r="F35" s="68"/>
      <c r="G35" s="68"/>
      <c r="H35" s="68"/>
      <c r="I35" s="97"/>
      <c r="J35" s="68"/>
      <c r="K35" s="97">
        <f t="shared" si="0"/>
      </c>
      <c r="L35" s="97"/>
      <c r="M35" s="68"/>
      <c r="N35" s="97">
        <f>IF(ISBLANK(L35),"",M35*L35)</f>
      </c>
      <c r="O35" s="68"/>
    </row>
    <row r="36" spans="1:15" ht="12.75">
      <c r="A36" s="68">
        <f>IF(ISNA(VLOOKUP(C36,'Tableau entretien DL'!$A$7:$O$100,9,FALSE)),"",VLOOKUP(C36,'Tableau entretien DL'!$A$7:$O$100,9,FALSE))</f>
      </c>
      <c r="B36" s="68" t="s">
        <v>14</v>
      </c>
      <c r="C36" s="68" t="s">
        <v>206</v>
      </c>
      <c r="D36" s="168" t="s">
        <v>271</v>
      </c>
      <c r="E36" s="168" t="s">
        <v>159</v>
      </c>
      <c r="F36" s="68" t="s">
        <v>152</v>
      </c>
      <c r="G36" s="68"/>
      <c r="H36" s="68" t="s">
        <v>153</v>
      </c>
      <c r="I36" s="97"/>
      <c r="J36" s="68"/>
      <c r="K36" s="97">
        <f t="shared" si="0"/>
      </c>
      <c r="L36" s="97">
        <f>5.02*1.196</f>
        <v>6.003919999999999</v>
      </c>
      <c r="M36" s="68">
        <v>0.75</v>
      </c>
      <c r="N36" s="97">
        <f t="shared" si="1"/>
        <v>4.502939999999999</v>
      </c>
      <c r="O36" s="68"/>
    </row>
    <row r="37" spans="1:15" ht="12.75">
      <c r="A37" s="68">
        <f>IF(ISNA(VLOOKUP(C37,'Tableau entretien DL'!$A$7:$O$100,9,FALSE)),"",VLOOKUP(C37,'Tableau entretien DL'!$A$7:$O$100,9,FALSE))</f>
      </c>
      <c r="B37" s="68" t="s">
        <v>14</v>
      </c>
      <c r="C37" s="68" t="s">
        <v>207</v>
      </c>
      <c r="D37" s="168" t="s">
        <v>271</v>
      </c>
      <c r="E37" s="168" t="s">
        <v>159</v>
      </c>
      <c r="F37" s="68" t="s">
        <v>152</v>
      </c>
      <c r="G37" s="68"/>
      <c r="H37" s="68" t="s">
        <v>153</v>
      </c>
      <c r="I37" s="97"/>
      <c r="J37" s="68"/>
      <c r="K37" s="97">
        <f t="shared" si="0"/>
      </c>
      <c r="L37" s="97">
        <f>5.02*1.196</f>
        <v>6.003919999999999</v>
      </c>
      <c r="M37" s="68">
        <v>0.75</v>
      </c>
      <c r="N37" s="97">
        <f>IF(ISBLANK(L37),"",M37*L37)</f>
        <v>4.502939999999999</v>
      </c>
      <c r="O37" s="68"/>
    </row>
    <row r="38" spans="1:15" ht="12.75">
      <c r="A38" s="68" t="str">
        <f>IF(ISNA(VLOOKUP(C38,'Tableau entretien DL'!$A$7:$O$100,9,FALSE)),"",VLOOKUP(C38,'Tableau entretien DL'!$A$7:$O$100,9,FALSE))</f>
        <v>I</v>
      </c>
      <c r="B38" s="68" t="s">
        <v>14</v>
      </c>
      <c r="C38" s="68" t="s">
        <v>208</v>
      </c>
      <c r="D38" s="168" t="s">
        <v>271</v>
      </c>
      <c r="E38" s="168" t="s">
        <v>159</v>
      </c>
      <c r="F38" s="68" t="s">
        <v>70</v>
      </c>
      <c r="G38" s="68"/>
      <c r="H38" s="68"/>
      <c r="I38" s="97">
        <v>25.8</v>
      </c>
      <c r="J38" s="68">
        <v>2</v>
      </c>
      <c r="K38" s="97">
        <f t="shared" si="0"/>
        <v>51.6</v>
      </c>
      <c r="L38" s="97">
        <f>25.12*1.196</f>
        <v>30.04352</v>
      </c>
      <c r="M38" s="68">
        <v>2</v>
      </c>
      <c r="N38" s="97">
        <f t="shared" si="1"/>
        <v>60.08704</v>
      </c>
      <c r="O38" s="68"/>
    </row>
    <row r="39" spans="1:15" ht="12.75">
      <c r="A39" s="68" t="str">
        <f>IF(ISNA(VLOOKUP(C39,'Tableau entretien DL'!$A$7:$O$100,9,FALSE)),"",VLOOKUP(C39,'Tableau entretien DL'!$A$7:$O$100,9,FALSE))</f>
        <v>I</v>
      </c>
      <c r="B39" s="68" t="s">
        <v>14</v>
      </c>
      <c r="C39" s="68" t="s">
        <v>209</v>
      </c>
      <c r="D39" s="168" t="s">
        <v>271</v>
      </c>
      <c r="E39" s="168" t="s">
        <v>159</v>
      </c>
      <c r="F39" s="68" t="s">
        <v>71</v>
      </c>
      <c r="G39" s="68"/>
      <c r="H39" s="68"/>
      <c r="I39" s="97">
        <v>25.1</v>
      </c>
      <c r="J39" s="68">
        <v>1</v>
      </c>
      <c r="K39" s="97">
        <f t="shared" si="0"/>
        <v>25.1</v>
      </c>
      <c r="L39" s="97">
        <f>24.25*1.196</f>
        <v>29.003</v>
      </c>
      <c r="M39" s="68">
        <v>1</v>
      </c>
      <c r="N39" s="97">
        <f t="shared" si="1"/>
        <v>29.003</v>
      </c>
      <c r="O39" s="68"/>
    </row>
    <row r="40" spans="1:15" ht="12.75">
      <c r="A40" s="68" t="str">
        <f>IF(ISNA(VLOOKUP(C40,'Tableau entretien DL'!$A$7:$O$100,9,FALSE)),"",VLOOKUP(C40,'Tableau entretien DL'!$A$7:$O$100,9,FALSE))</f>
        <v>I</v>
      </c>
      <c r="B40" s="68" t="s">
        <v>14</v>
      </c>
      <c r="C40" s="68" t="s">
        <v>23</v>
      </c>
      <c r="D40" s="168" t="s">
        <v>271</v>
      </c>
      <c r="E40" s="168" t="s">
        <v>165</v>
      </c>
      <c r="F40" s="68" t="s">
        <v>156</v>
      </c>
      <c r="G40" s="68"/>
      <c r="H40" s="68"/>
      <c r="I40" s="97">
        <v>0.01</v>
      </c>
      <c r="J40" s="68">
        <v>1</v>
      </c>
      <c r="K40" s="97">
        <f t="shared" si="0"/>
        <v>0.01</v>
      </c>
      <c r="L40" s="97">
        <f>10.03*1.196</f>
        <v>11.995879999999998</v>
      </c>
      <c r="M40" s="68">
        <v>0.25</v>
      </c>
      <c r="N40" s="97">
        <f t="shared" si="1"/>
        <v>2.9989699999999995</v>
      </c>
      <c r="O40" s="68"/>
    </row>
    <row r="41" spans="1:15" ht="12.75">
      <c r="A41" s="68" t="str">
        <f>IF(ISNA(VLOOKUP(C41,'Tableau entretien DL'!$A$7:$O$100,9,FALSE)),"",VLOOKUP(C41,'Tableau entretien DL'!$A$7:$O$100,9,FALSE))</f>
        <v>I</v>
      </c>
      <c r="B41" s="68" t="s">
        <v>14</v>
      </c>
      <c r="C41" s="68" t="s">
        <v>23</v>
      </c>
      <c r="D41" s="168" t="s">
        <v>271</v>
      </c>
      <c r="E41" s="168" t="s">
        <v>158</v>
      </c>
      <c r="F41" s="68" t="s">
        <v>155</v>
      </c>
      <c r="G41" s="68"/>
      <c r="H41" s="68"/>
      <c r="I41" s="97">
        <v>0.01</v>
      </c>
      <c r="J41" s="68">
        <v>1</v>
      </c>
      <c r="K41" s="97">
        <f t="shared" si="0"/>
        <v>0.01</v>
      </c>
      <c r="L41" s="97">
        <f>10.03*1.196</f>
        <v>11.995879999999998</v>
      </c>
      <c r="M41" s="68">
        <v>0.5</v>
      </c>
      <c r="N41" s="97">
        <f t="shared" si="1"/>
        <v>5.997939999999999</v>
      </c>
      <c r="O41" s="68"/>
    </row>
    <row r="42" spans="1:15" ht="12.75">
      <c r="A42" s="68" t="str">
        <f>IF(ISNA(VLOOKUP(C42,'Tableau entretien DL'!$A$7:$O$100,9,FALSE)),"",VLOOKUP(C42,'Tableau entretien DL'!$A$7:$O$100,9,FALSE))</f>
        <v>I</v>
      </c>
      <c r="B42" s="68" t="s">
        <v>14</v>
      </c>
      <c r="C42" s="68" t="s">
        <v>23</v>
      </c>
      <c r="D42" s="168" t="s">
        <v>271</v>
      </c>
      <c r="E42" s="168" t="s">
        <v>159</v>
      </c>
      <c r="F42" s="68" t="s">
        <v>144</v>
      </c>
      <c r="G42" s="68"/>
      <c r="H42" s="68"/>
      <c r="I42" s="97">
        <v>113.7</v>
      </c>
      <c r="J42" s="68">
        <v>1</v>
      </c>
      <c r="K42" s="97">
        <f t="shared" si="0"/>
        <v>113.7</v>
      </c>
      <c r="L42" s="97">
        <f>124.59*1.196</f>
        <v>149.00964</v>
      </c>
      <c r="M42" s="68">
        <v>1</v>
      </c>
      <c r="N42" s="97">
        <f t="shared" si="1"/>
        <v>149.00964</v>
      </c>
      <c r="O42" s="68"/>
    </row>
    <row r="43" spans="1:15" ht="12.75">
      <c r="A43" s="68" t="str">
        <f>IF(ISNA(VLOOKUP(C43,'Tableau entretien DL'!$A$7:$O$100,9,FALSE)),"",VLOOKUP(C43,'Tableau entretien DL'!$A$7:$O$100,9,FALSE))</f>
        <v>I</v>
      </c>
      <c r="B43" s="68" t="s">
        <v>14</v>
      </c>
      <c r="C43" s="68" t="s">
        <v>24</v>
      </c>
      <c r="D43" s="168" t="s">
        <v>271</v>
      </c>
      <c r="E43" s="168"/>
      <c r="F43" s="68"/>
      <c r="G43" s="68"/>
      <c r="H43" s="68"/>
      <c r="I43" s="97"/>
      <c r="J43" s="68"/>
      <c r="K43" s="97">
        <f t="shared" si="0"/>
      </c>
      <c r="L43" s="97"/>
      <c r="M43" s="68"/>
      <c r="N43" s="97">
        <f t="shared" si="1"/>
      </c>
      <c r="O43" s="68"/>
    </row>
    <row r="44" spans="1:15" ht="12.75">
      <c r="A44" s="68">
        <f>IF(ISNA(VLOOKUP(C44,'Tableau entretien DL'!$A$7:$O$100,9,FALSE)),"",VLOOKUP(C44,'Tableau entretien DL'!$A$7:$O$100,9,FALSE))</f>
      </c>
      <c r="B44" s="68" t="s">
        <v>14</v>
      </c>
      <c r="C44" s="68" t="s">
        <v>43</v>
      </c>
      <c r="D44" s="168" t="s">
        <v>271</v>
      </c>
      <c r="E44" s="168"/>
      <c r="F44" s="68"/>
      <c r="G44" s="68"/>
      <c r="H44" s="68"/>
      <c r="I44" s="97"/>
      <c r="J44" s="68"/>
      <c r="K44" s="97">
        <f t="shared" si="0"/>
      </c>
      <c r="L44" s="97"/>
      <c r="M44" s="68"/>
      <c r="N44" s="97">
        <f t="shared" si="1"/>
      </c>
      <c r="O44" s="68"/>
    </row>
    <row r="45" spans="1:15" ht="12.75">
      <c r="A45" s="68" t="str">
        <f>IF(ISNA(VLOOKUP(C45,'Tableau entretien DL'!$A$7:$O$100,9,FALSE)),"",VLOOKUP(C45,'Tableau entretien DL'!$A$7:$O$100,9,FALSE))</f>
        <v>I</v>
      </c>
      <c r="B45" s="68" t="s">
        <v>14</v>
      </c>
      <c r="C45" s="68" t="s">
        <v>210</v>
      </c>
      <c r="D45" s="168" t="s">
        <v>271</v>
      </c>
      <c r="E45" s="168" t="s">
        <v>159</v>
      </c>
      <c r="F45" s="68" t="s">
        <v>201</v>
      </c>
      <c r="G45" s="68"/>
      <c r="H45" s="68"/>
      <c r="I45" s="97">
        <f>103.8+13.5</f>
        <v>117.3</v>
      </c>
      <c r="J45" s="68">
        <v>1</v>
      </c>
      <c r="K45" s="97">
        <f t="shared" si="0"/>
        <v>117.3</v>
      </c>
      <c r="L45" s="97">
        <f>134.62*1.196</f>
        <v>161.00552</v>
      </c>
      <c r="M45" s="68">
        <v>1</v>
      </c>
      <c r="N45" s="97">
        <f t="shared" si="1"/>
        <v>161.00552</v>
      </c>
      <c r="O45" s="68"/>
    </row>
    <row r="46" spans="1:15" ht="12.75">
      <c r="A46" s="68" t="str">
        <f>IF(ISNA(VLOOKUP(C46,'Tableau entretien DL'!$A$7:$O$100,9,FALSE)),"",VLOOKUP(C46,'Tableau entretien DL'!$A$7:$O$100,9,FALSE))</f>
        <v>I</v>
      </c>
      <c r="B46" s="68" t="s">
        <v>14</v>
      </c>
      <c r="C46" s="68" t="s">
        <v>211</v>
      </c>
      <c r="D46" s="168" t="s">
        <v>271</v>
      </c>
      <c r="E46" s="168" t="s">
        <v>159</v>
      </c>
      <c r="F46" s="68" t="s">
        <v>202</v>
      </c>
      <c r="G46" s="68"/>
      <c r="H46" s="68"/>
      <c r="I46" s="97">
        <f>127.2+13.5</f>
        <v>140.7</v>
      </c>
      <c r="J46" s="68">
        <v>1</v>
      </c>
      <c r="K46" s="97">
        <f t="shared" si="0"/>
        <v>140.7</v>
      </c>
      <c r="L46" s="97">
        <f>106*1.196</f>
        <v>126.776</v>
      </c>
      <c r="M46" s="68">
        <v>1</v>
      </c>
      <c r="N46" s="97">
        <f t="shared" si="1"/>
        <v>126.776</v>
      </c>
      <c r="O46" s="68"/>
    </row>
    <row r="47" spans="1:15" ht="12.75">
      <c r="A47" s="68" t="str">
        <f>IF(ISNA(VLOOKUP(C47,'Tableau entretien DL'!$A$7:$O$100,9,FALSE)),"",VLOOKUP(C47,'Tableau entretien DL'!$A$7:$O$100,9,FALSE))</f>
        <v>S</v>
      </c>
      <c r="B47" s="68" t="s">
        <v>25</v>
      </c>
      <c r="C47" s="68" t="s">
        <v>26</v>
      </c>
      <c r="D47" s="168" t="s">
        <v>271</v>
      </c>
      <c r="E47" s="168"/>
      <c r="F47" s="68"/>
      <c r="G47" s="68"/>
      <c r="H47" s="68"/>
      <c r="I47" s="97"/>
      <c r="J47" s="68"/>
      <c r="K47" s="97">
        <f t="shared" si="0"/>
      </c>
      <c r="L47" s="97"/>
      <c r="M47" s="68"/>
      <c r="N47" s="97">
        <f t="shared" si="1"/>
      </c>
      <c r="O47" s="68"/>
    </row>
    <row r="48" spans="1:15" ht="12.75">
      <c r="A48" s="68" t="str">
        <f>IF(ISNA(VLOOKUP(C48,'Tableau entretien DL'!$A$7:$O$100,9,FALSE)),"",VLOOKUP(C48,'Tableau entretien DL'!$A$7:$O$100,9,FALSE))</f>
        <v>S</v>
      </c>
      <c r="B48" s="68" t="s">
        <v>25</v>
      </c>
      <c r="C48" s="68" t="s">
        <v>76</v>
      </c>
      <c r="D48" s="168" t="s">
        <v>271</v>
      </c>
      <c r="E48" s="168"/>
      <c r="F48" s="68"/>
      <c r="G48" s="68"/>
      <c r="H48" s="68"/>
      <c r="I48" s="97"/>
      <c r="J48" s="68"/>
      <c r="K48" s="97">
        <f t="shared" si="0"/>
      </c>
      <c r="L48" s="97"/>
      <c r="M48" s="68"/>
      <c r="N48" s="97">
        <f t="shared" si="1"/>
      </c>
      <c r="O48" s="68"/>
    </row>
    <row r="49" spans="1:15" ht="12.75">
      <c r="A49" s="68" t="str">
        <f>IF(ISNA(VLOOKUP(C49,'Tableau entretien DL'!$A$7:$O$100,9,FALSE)),"",VLOOKUP(C49,'Tableau entretien DL'!$A$7:$O$100,9,FALSE))</f>
        <v>E</v>
      </c>
      <c r="B49" s="68" t="s">
        <v>25</v>
      </c>
      <c r="C49" s="68" t="s">
        <v>142</v>
      </c>
      <c r="D49" s="168" t="s">
        <v>271</v>
      </c>
      <c r="E49" s="168" t="s">
        <v>199</v>
      </c>
      <c r="F49" s="68" t="s">
        <v>243</v>
      </c>
      <c r="G49" s="68"/>
      <c r="H49" s="68"/>
      <c r="I49" s="97"/>
      <c r="J49" s="68"/>
      <c r="K49" s="97">
        <f t="shared" si="0"/>
      </c>
      <c r="L49" s="97"/>
      <c r="M49" s="68"/>
      <c r="N49" s="97">
        <f>IF(ISBLANK(L49),"",M49*L49)</f>
      </c>
      <c r="O49" s="68"/>
    </row>
    <row r="50" ht="12.75">
      <c r="A50" s="130">
        <f>IF(ISNA(VLOOKUP(C50,'Tableau entretien DL'!$A$7:$O$100,9,FALSE)),"",VLOOKUP(C50,'Tableau entretien DL'!$A$7:$O$100,9,FALSE))</f>
      </c>
    </row>
    <row r="51" ht="12.75">
      <c r="A51" s="130">
        <f>IF(ISNA(VLOOKUP(C51,'Tableau entretien DL'!$A$7:$O$100,9,FALSE)),"",VLOOKUP(C51,'Tableau entretien DL'!$A$7:$O$100,9,FALSE))</f>
      </c>
    </row>
    <row r="52" ht="12.75">
      <c r="A52" s="130">
        <f>IF(ISNA(VLOOKUP(C52,'Tableau entretien DL'!$A$7:$O$100,9,FALSE)),"",VLOOKUP(C52,'Tableau entretien DL'!$A$7:$O$100,9,FALSE))</f>
      </c>
    </row>
    <row r="53" ht="12.75">
      <c r="A53" s="130">
        <f>IF(ISNA(VLOOKUP(C53,'Tableau entretien DL'!$A$7:$O$100,9,FALSE)),"",VLOOKUP(C53,'Tableau entretien DL'!$A$7:$O$100,9,FALSE))</f>
      </c>
    </row>
    <row r="54" ht="12.75">
      <c r="A54" s="130">
        <f>IF(ISNA(VLOOKUP(C54,'Tableau entretien DL'!$A$7:$O$100,9,FALSE)),"",VLOOKUP(C54,'Tableau entretien DL'!$A$7:$O$100,9,FALSE))</f>
      </c>
    </row>
    <row r="55" ht="12.75">
      <c r="A55" s="130">
        <f>IF(ISNA(VLOOKUP(C55,'Tableau entretien DL'!$A$7:$O$100,9,FALSE)),"",VLOOKUP(C55,'Tableau entretien DL'!$A$7:$O$100,9,FALSE))</f>
      </c>
    </row>
    <row r="56" ht="12.75">
      <c r="A56" s="130">
        <f>IF(ISNA(VLOOKUP(C56,'Tableau entretien DL'!$A$7:$O$100,9,FALSE)),"",VLOOKUP(C56,'Tableau entretien DL'!$A$7:$O$100,9,FALSE))</f>
      </c>
    </row>
    <row r="57" ht="12.75">
      <c r="A57" s="130">
        <f>IF(ISNA(VLOOKUP(C57,'Tableau entretien DL'!$A$7:$O$100,9,FALSE)),"",VLOOKUP(C57,'Tableau entretien DL'!$A$7:$O$100,9,FALSE))</f>
      </c>
    </row>
    <row r="58" spans="1:5" ht="12.75">
      <c r="A58" s="130">
        <f>IF(ISNA(VLOOKUP(C58,'Tableau entretien DL'!$A$7:$O$100,9,FALSE)),"",VLOOKUP(C58,'Tableau entretien DL'!$A$7:$O$100,9,FALSE))</f>
      </c>
      <c r="D58" s="132"/>
      <c r="E58" s="132"/>
    </row>
    <row r="59" spans="1:5" ht="12.75">
      <c r="A59" s="130">
        <f>IF(ISNA(VLOOKUP(C59,'Tableau entretien DL'!$A$7:$O$100,9,FALSE)),"",VLOOKUP(C59,'Tableau entretien DL'!$A$7:$O$100,9,FALSE))</f>
      </c>
      <c r="C59" s="245"/>
      <c r="D59" s="245"/>
      <c r="E59" s="245"/>
    </row>
    <row r="60" spans="1:5" ht="12.75">
      <c r="A60" s="130">
        <f>IF(ISNA(VLOOKUP(C60,'Tableau entretien DL'!$A$7:$O$100,9,FALSE)),"",VLOOKUP(C60,'Tableau entretien DL'!$A$7:$O$100,9,FALSE))</f>
      </c>
      <c r="D60" s="132"/>
      <c r="E60" s="132"/>
    </row>
    <row r="61" spans="1:5" ht="12.75">
      <c r="A61" s="130">
        <f>IF(ISNA(VLOOKUP(C61,'Tableau entretien DL'!$A$7:$O$100,9,FALSE)),"",VLOOKUP(C61,'Tableau entretien DL'!$A$7:$O$100,9,FALSE))</f>
      </c>
      <c r="D61" s="132"/>
      <c r="E61" s="132"/>
    </row>
    <row r="62" spans="1:5" ht="12.75">
      <c r="A62" s="130">
        <f>IF(ISNA(VLOOKUP(C62,'Tableau entretien DL'!$A$7:$O$100,9,FALSE)),"",VLOOKUP(C62,'Tableau entretien DL'!$A$7:$O$100,9,FALSE))</f>
      </c>
      <c r="D62" s="132"/>
      <c r="E62" s="132"/>
    </row>
    <row r="63" spans="1:5" ht="12.75">
      <c r="A63" s="130">
        <f>IF(ISNA(VLOOKUP(C63,'Tableau entretien DL'!$A$7:$O$100,9,FALSE)),"",VLOOKUP(C63,'Tableau entretien DL'!$A$7:$O$100,9,FALSE))</f>
      </c>
      <c r="D63" s="132"/>
      <c r="E63" s="132"/>
    </row>
    <row r="64" spans="4:5" ht="12.75">
      <c r="D64" s="132"/>
      <c r="E64" s="132"/>
    </row>
    <row r="65" spans="4:5" ht="12.75">
      <c r="D65" s="132"/>
      <c r="E65" s="132"/>
    </row>
    <row r="66" spans="4:5" ht="12.75">
      <c r="D66" s="132"/>
      <c r="E66" s="132"/>
    </row>
    <row r="67" spans="4:5" ht="12.75">
      <c r="D67" s="132"/>
      <c r="E67" s="132"/>
    </row>
    <row r="68" spans="4:5" ht="12.75">
      <c r="D68" s="132"/>
      <c r="E68" s="132"/>
    </row>
    <row r="69" spans="4:5" ht="12.75">
      <c r="D69" s="132"/>
      <c r="E69" s="132"/>
    </row>
    <row r="70" spans="4:5" ht="12.75">
      <c r="D70" s="132"/>
      <c r="E70" s="132"/>
    </row>
    <row r="71" spans="4:5" ht="12.75">
      <c r="D71" s="132"/>
      <c r="E71" s="132"/>
    </row>
    <row r="72" spans="4:5" ht="12.75">
      <c r="D72" s="132"/>
      <c r="E72" s="132"/>
    </row>
    <row r="73" spans="4:5" ht="12.75">
      <c r="D73" s="132"/>
      <c r="E73" s="132"/>
    </row>
    <row r="74" spans="4:5" ht="12.75">
      <c r="D74" s="132"/>
      <c r="E74" s="132"/>
    </row>
    <row r="75" spans="4:5" ht="12.75">
      <c r="D75" s="132"/>
      <c r="E75" s="132"/>
    </row>
    <row r="76" spans="4:5" ht="12.75">
      <c r="D76" s="132"/>
      <c r="E76" s="132"/>
    </row>
    <row r="77" spans="3:5" ht="12.75">
      <c r="C77" s="169"/>
      <c r="D77" s="167"/>
      <c r="E77" s="132"/>
    </row>
    <row r="78" spans="3:5" ht="12.75">
      <c r="C78" s="167"/>
      <c r="D78" s="167"/>
      <c r="E78" s="132"/>
    </row>
    <row r="79" spans="3:5" ht="12.75">
      <c r="C79" s="167"/>
      <c r="D79" s="167"/>
      <c r="E79" s="132"/>
    </row>
    <row r="80" spans="4:5" ht="12.75">
      <c r="D80" s="132"/>
      <c r="E80" s="132"/>
    </row>
    <row r="84" ht="12.75">
      <c r="C84" s="170"/>
    </row>
  </sheetData>
  <sheetProtection/>
  <mergeCells count="5">
    <mergeCell ref="I5:K5"/>
    <mergeCell ref="L5:N5"/>
    <mergeCell ref="C59:E59"/>
    <mergeCell ref="B1:C1"/>
    <mergeCell ref="B4:C4"/>
  </mergeCells>
  <conditionalFormatting sqref="C84">
    <cfRule type="cellIs" priority="1" dxfId="11" operator="equal" stopIfTrue="1">
      <formula>$B$5</formula>
    </cfRule>
  </conditionalFormatting>
  <conditionalFormatting sqref="B6:O6">
    <cfRule type="expression" priority="2" dxfId="8" stopIfTrue="1">
      <formula>AND(SEARCH($A6,$E6,1),LEN($A6)&gt;0,(SEARCH(TEXT(AM_Liste_Déroulante,0),$D6,1)))</formula>
    </cfRule>
    <cfRule type="expression" priority="3" dxfId="1" stopIfTrue="1">
      <formula>IF(SEARCH(TEXT(AM_Liste_Déroulante,0),$D6,1)&gt;1,FALSE,)</formula>
    </cfRule>
  </conditionalFormatting>
  <conditionalFormatting sqref="A33:A63 A7:E32 B33:E49 F7:O49">
    <cfRule type="expression" priority="4" dxfId="8" stopIfTrue="1">
      <formula>AND(Filtre_Base_Fourniture="OUI",SEARCH($A7,$E7,1),LEN($A7)&gt;0,(SEARCH(TEXT(AM_Liste_Déroulante,0),$D7,1)))</formula>
    </cfRule>
    <cfRule type="expression" priority="5" dxfId="1" stopIfTrue="1">
      <formula>AND(Filtre_Base_Fourniture="OUI",IF(ISERR(SEARCH(TEXT(AM_Liste_Déroulante,0),$D7,1)),TRUE,FALSE))</formula>
    </cfRule>
    <cfRule type="expression" priority="6" dxfId="1" stopIfTrue="1">
      <formula>AND(Filtre_Base_Fourniture="OUI",OR(LEN($A7)=0,IF(ISERR(SEARCH($A7,$E7,1)),TRUE,FALSE)))</formula>
    </cfRule>
  </conditionalFormatting>
  <dataValidations count="2">
    <dataValidation type="list" allowBlank="1" showInputMessage="1" showErrorMessage="1" sqref="B4:D4">
      <formula1>"OUI,NON"</formula1>
    </dataValidation>
    <dataValidation type="list" allowBlank="1" showDropDown="1" showInputMessage="1" showErrorMessage="1" errorTitle="Cellule Protégée" error="Les cellules sont utilisées dans les formules" sqref="B6:O6">
      <formula1>"VRAI"</formula1>
    </dataValidation>
  </dataValidations>
  <hyperlinks>
    <hyperlink ref="B1" location="'Tableau entretien DL'!A1" tooltip="tableau Entretien DL" display="Retour au tableau Entretien DL"/>
  </hyperlinks>
  <printOptions/>
  <pageMargins left="0.1968503937007874" right="0.1968503937007874" top="0.1968503937007874" bottom="0.1968503937007874" header="0.5118110236220472" footer="0.5118110236220472"/>
  <pageSetup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2"/>
  <sheetViews>
    <sheetView showGridLines="0" zoomScalePageLayoutView="0" workbookViewId="0" topLeftCell="A1">
      <pane xSplit="7" ySplit="5" topLeftCell="H9" activePane="bottomRight" state="frozen"/>
      <selection pane="topLeft" activeCell="A1" sqref="A1"/>
      <selection pane="topRight" activeCell="H1" sqref="H1"/>
      <selection pane="bottomLeft" activeCell="A3" sqref="A3"/>
      <selection pane="bottomRight" activeCell="D37" sqref="D37"/>
    </sheetView>
  </sheetViews>
  <sheetFormatPr defaultColWidth="11.421875" defaultRowHeight="12.75"/>
  <cols>
    <col min="1" max="1" width="32.421875" style="0" bestFit="1" customWidth="1"/>
    <col min="2" max="2" width="15.28125" style="0" bestFit="1" customWidth="1"/>
    <col min="3" max="4" width="5.00390625" style="0" bestFit="1" customWidth="1"/>
    <col min="5" max="19" width="6.00390625" style="0" bestFit="1" customWidth="1"/>
    <col min="20" max="37" width="7.00390625" style="0" bestFit="1" customWidth="1"/>
  </cols>
  <sheetData>
    <row r="1" spans="1:2" ht="12.75">
      <c r="A1" s="237" t="s">
        <v>242</v>
      </c>
      <c r="B1" s="237"/>
    </row>
    <row r="2" spans="1:2" ht="12.75">
      <c r="A2" s="185"/>
      <c r="B2" s="185"/>
    </row>
    <row r="3" spans="1:3" ht="24">
      <c r="A3" s="34" t="s">
        <v>52</v>
      </c>
      <c r="B3" s="2" t="s">
        <v>22</v>
      </c>
      <c r="C3" s="1" t="s">
        <v>0</v>
      </c>
    </row>
    <row r="5" spans="1:37" ht="13.5" thickBot="1">
      <c r="A5" t="s">
        <v>65</v>
      </c>
      <c r="B5" s="4" t="s">
        <v>27</v>
      </c>
      <c r="C5">
        <v>1000</v>
      </c>
      <c r="D5">
        <v>6000</v>
      </c>
      <c r="E5">
        <v>12000</v>
      </c>
      <c r="F5">
        <v>18000</v>
      </c>
      <c r="G5">
        <v>24000</v>
      </c>
      <c r="H5">
        <v>30000</v>
      </c>
      <c r="I5">
        <v>36000</v>
      </c>
      <c r="J5">
        <v>42000</v>
      </c>
      <c r="K5">
        <v>48000</v>
      </c>
      <c r="L5">
        <v>54000</v>
      </c>
      <c r="M5">
        <v>60000</v>
      </c>
      <c r="N5">
        <v>66000</v>
      </c>
      <c r="O5">
        <v>72000</v>
      </c>
      <c r="P5">
        <v>78000</v>
      </c>
      <c r="Q5">
        <v>84000</v>
      </c>
      <c r="R5">
        <v>90000</v>
      </c>
      <c r="S5">
        <v>96000</v>
      </c>
      <c r="T5">
        <v>102000</v>
      </c>
      <c r="U5">
        <v>108000</v>
      </c>
      <c r="V5">
        <v>114000</v>
      </c>
      <c r="W5">
        <v>120000</v>
      </c>
      <c r="X5">
        <v>126000</v>
      </c>
      <c r="Y5">
        <v>132000</v>
      </c>
      <c r="Z5">
        <v>138000</v>
      </c>
      <c r="AA5">
        <v>144000</v>
      </c>
      <c r="AB5">
        <v>150000</v>
      </c>
      <c r="AC5">
        <v>156000</v>
      </c>
      <c r="AD5">
        <v>162000</v>
      </c>
      <c r="AE5">
        <v>168000</v>
      </c>
      <c r="AF5">
        <v>174000</v>
      </c>
      <c r="AG5">
        <v>180000</v>
      </c>
      <c r="AH5">
        <v>186000</v>
      </c>
      <c r="AI5">
        <v>192000</v>
      </c>
      <c r="AJ5">
        <v>198000</v>
      </c>
      <c r="AK5">
        <v>204000</v>
      </c>
    </row>
    <row r="6" spans="1:37" ht="15.75">
      <c r="A6" s="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ht="12.75">
      <c r="A7" s="5"/>
      <c r="B7" s="3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7.25">
      <c r="A8" s="9" t="s">
        <v>20</v>
      </c>
      <c r="B8" s="39" t="s">
        <v>39</v>
      </c>
      <c r="C8" s="40" t="s">
        <v>35</v>
      </c>
      <c r="D8" s="40" t="s">
        <v>35</v>
      </c>
      <c r="E8" s="40" t="s">
        <v>35</v>
      </c>
      <c r="F8" s="40" t="s">
        <v>35</v>
      </c>
      <c r="G8" s="40" t="s">
        <v>35</v>
      </c>
      <c r="H8" s="40" t="s">
        <v>35</v>
      </c>
      <c r="I8" s="40" t="s">
        <v>35</v>
      </c>
      <c r="J8" s="40" t="s">
        <v>35</v>
      </c>
      <c r="K8" s="40" t="s">
        <v>35</v>
      </c>
      <c r="L8" s="40" t="s">
        <v>35</v>
      </c>
      <c r="M8" s="40" t="s">
        <v>35</v>
      </c>
      <c r="N8" s="40" t="s">
        <v>35</v>
      </c>
      <c r="O8" s="40" t="s">
        <v>35</v>
      </c>
      <c r="P8" s="40" t="s">
        <v>35</v>
      </c>
      <c r="Q8" s="40" t="s">
        <v>35</v>
      </c>
      <c r="R8" s="40" t="s">
        <v>35</v>
      </c>
      <c r="S8" s="40" t="s">
        <v>35</v>
      </c>
      <c r="T8" s="40" t="s">
        <v>35</v>
      </c>
      <c r="U8" s="40" t="s">
        <v>35</v>
      </c>
      <c r="V8" s="40" t="s">
        <v>35</v>
      </c>
      <c r="W8" s="40" t="s">
        <v>35</v>
      </c>
      <c r="X8" s="40" t="s">
        <v>35</v>
      </c>
      <c r="Y8" s="40" t="s">
        <v>35</v>
      </c>
      <c r="Z8" s="40" t="s">
        <v>35</v>
      </c>
      <c r="AA8" s="40" t="s">
        <v>35</v>
      </c>
      <c r="AB8" s="40" t="s">
        <v>35</v>
      </c>
      <c r="AC8" s="40" t="s">
        <v>35</v>
      </c>
      <c r="AD8" s="40" t="s">
        <v>35</v>
      </c>
      <c r="AE8" s="40" t="s">
        <v>35</v>
      </c>
      <c r="AF8" s="40" t="s">
        <v>35</v>
      </c>
      <c r="AG8" s="40" t="s">
        <v>35</v>
      </c>
      <c r="AH8" s="40" t="s">
        <v>35</v>
      </c>
      <c r="AI8" s="40" t="s">
        <v>35</v>
      </c>
      <c r="AJ8" s="40" t="s">
        <v>35</v>
      </c>
      <c r="AK8" s="40" t="s">
        <v>35</v>
      </c>
    </row>
    <row r="9" spans="1:37" ht="18.75">
      <c r="A9" s="5" t="s">
        <v>2</v>
      </c>
      <c r="B9" s="19" t="s">
        <v>40</v>
      </c>
      <c r="C9" s="41" t="s">
        <v>34</v>
      </c>
      <c r="D9" s="41" t="s">
        <v>34</v>
      </c>
      <c r="E9" s="41" t="s">
        <v>34</v>
      </c>
      <c r="F9" s="41" t="s">
        <v>34</v>
      </c>
      <c r="G9" s="41" t="s">
        <v>34</v>
      </c>
      <c r="H9" s="41" t="s">
        <v>34</v>
      </c>
      <c r="I9" s="41" t="s">
        <v>34</v>
      </c>
      <c r="J9" s="41" t="s">
        <v>34</v>
      </c>
      <c r="K9" s="41" t="s">
        <v>34</v>
      </c>
      <c r="L9" s="41" t="s">
        <v>34</v>
      </c>
      <c r="M9" s="41" t="s">
        <v>34</v>
      </c>
      <c r="N9" s="41" t="s">
        <v>34</v>
      </c>
      <c r="O9" s="41" t="s">
        <v>34</v>
      </c>
      <c r="P9" s="41" t="s">
        <v>34</v>
      </c>
      <c r="Q9" s="41" t="s">
        <v>34</v>
      </c>
      <c r="R9" s="41" t="s">
        <v>34</v>
      </c>
      <c r="S9" s="41" t="s">
        <v>34</v>
      </c>
      <c r="T9" s="41" t="s">
        <v>34</v>
      </c>
      <c r="U9" s="41" t="s">
        <v>34</v>
      </c>
      <c r="V9" s="41" t="s">
        <v>34</v>
      </c>
      <c r="W9" s="41" t="s">
        <v>34</v>
      </c>
      <c r="X9" s="41" t="s">
        <v>34</v>
      </c>
      <c r="Y9" s="41" t="s">
        <v>34</v>
      </c>
      <c r="Z9" s="41" t="s">
        <v>34</v>
      </c>
      <c r="AA9" s="41" t="s">
        <v>34</v>
      </c>
      <c r="AB9" s="41" t="s">
        <v>34</v>
      </c>
      <c r="AC9" s="41" t="s">
        <v>34</v>
      </c>
      <c r="AD9" s="41" t="s">
        <v>34</v>
      </c>
      <c r="AE9" s="41" t="s">
        <v>34</v>
      </c>
      <c r="AF9" s="41" t="s">
        <v>34</v>
      </c>
      <c r="AG9" s="41" t="s">
        <v>34</v>
      </c>
      <c r="AH9" s="41" t="s">
        <v>34</v>
      </c>
      <c r="AI9" s="41" t="s">
        <v>34</v>
      </c>
      <c r="AJ9" s="41" t="s">
        <v>34</v>
      </c>
      <c r="AK9" s="41" t="s">
        <v>34</v>
      </c>
    </row>
    <row r="10" spans="1:37" ht="18.75">
      <c r="A10" s="9" t="s">
        <v>3</v>
      </c>
      <c r="B10" s="26" t="s">
        <v>40</v>
      </c>
      <c r="C10" s="40" t="s">
        <v>34</v>
      </c>
      <c r="D10" s="40"/>
      <c r="E10" s="40"/>
      <c r="F10" s="40" t="s">
        <v>34</v>
      </c>
      <c r="G10" s="40"/>
      <c r="H10" s="40"/>
      <c r="I10" s="40" t="s">
        <v>34</v>
      </c>
      <c r="J10" s="40"/>
      <c r="K10" s="40"/>
      <c r="L10" s="40" t="s">
        <v>34</v>
      </c>
      <c r="M10" s="40"/>
      <c r="N10" s="40"/>
      <c r="O10" s="40" t="s">
        <v>34</v>
      </c>
      <c r="P10" s="40"/>
      <c r="Q10" s="40"/>
      <c r="R10" s="40" t="s">
        <v>34</v>
      </c>
      <c r="S10" s="40"/>
      <c r="T10" s="40"/>
      <c r="U10" s="40" t="s">
        <v>34</v>
      </c>
      <c r="V10" s="40"/>
      <c r="W10" s="40"/>
      <c r="X10" s="40" t="s">
        <v>34</v>
      </c>
      <c r="Y10" s="40"/>
      <c r="Z10" s="40"/>
      <c r="AA10" s="40" t="s">
        <v>34</v>
      </c>
      <c r="AB10" s="40"/>
      <c r="AC10" s="40"/>
      <c r="AD10" s="40" t="s">
        <v>34</v>
      </c>
      <c r="AE10" s="40"/>
      <c r="AF10" s="40"/>
      <c r="AG10" s="40" t="s">
        <v>34</v>
      </c>
      <c r="AH10" s="40"/>
      <c r="AI10" s="40"/>
      <c r="AJ10" s="40" t="s">
        <v>34</v>
      </c>
      <c r="AK10" s="40"/>
    </row>
    <row r="11" spans="1:37" ht="18.75">
      <c r="A11" s="5" t="s">
        <v>19</v>
      </c>
      <c r="B11" s="19" t="s">
        <v>40</v>
      </c>
      <c r="C11" s="41"/>
      <c r="D11" s="41" t="s">
        <v>35</v>
      </c>
      <c r="E11" s="41" t="s">
        <v>35</v>
      </c>
      <c r="F11" s="41" t="s">
        <v>34</v>
      </c>
      <c r="G11" s="41" t="s">
        <v>35</v>
      </c>
      <c r="H11" s="41" t="s">
        <v>35</v>
      </c>
      <c r="I11" s="41" t="s">
        <v>34</v>
      </c>
      <c r="J11" s="41" t="s">
        <v>35</v>
      </c>
      <c r="K11" s="41" t="s">
        <v>35</v>
      </c>
      <c r="L11" s="41" t="s">
        <v>34</v>
      </c>
      <c r="M11" s="41" t="s">
        <v>35</v>
      </c>
      <c r="N11" s="41" t="s">
        <v>35</v>
      </c>
      <c r="O11" s="41" t="s">
        <v>34</v>
      </c>
      <c r="P11" s="41" t="s">
        <v>35</v>
      </c>
      <c r="Q11" s="41" t="s">
        <v>35</v>
      </c>
      <c r="R11" s="41" t="s">
        <v>34</v>
      </c>
      <c r="S11" s="41" t="s">
        <v>35</v>
      </c>
      <c r="T11" s="41" t="s">
        <v>35</v>
      </c>
      <c r="U11" s="41" t="s">
        <v>34</v>
      </c>
      <c r="V11" s="41" t="s">
        <v>35</v>
      </c>
      <c r="W11" s="41" t="s">
        <v>35</v>
      </c>
      <c r="X11" s="41" t="s">
        <v>34</v>
      </c>
      <c r="Y11" s="41" t="s">
        <v>35</v>
      </c>
      <c r="Z11" s="41" t="s">
        <v>35</v>
      </c>
      <c r="AA11" s="41" t="s">
        <v>34</v>
      </c>
      <c r="AB11" s="41" t="s">
        <v>35</v>
      </c>
      <c r="AC11" s="41" t="s">
        <v>35</v>
      </c>
      <c r="AD11" s="41" t="s">
        <v>34</v>
      </c>
      <c r="AE11" s="41" t="s">
        <v>35</v>
      </c>
      <c r="AF11" s="41" t="s">
        <v>35</v>
      </c>
      <c r="AG11" s="41" t="s">
        <v>34</v>
      </c>
      <c r="AH11" s="41" t="s">
        <v>35</v>
      </c>
      <c r="AI11" s="41" t="s">
        <v>35</v>
      </c>
      <c r="AJ11" s="41" t="s">
        <v>34</v>
      </c>
      <c r="AK11" s="41" t="s">
        <v>35</v>
      </c>
    </row>
    <row r="12" spans="1:37" ht="17.25">
      <c r="A12" s="9" t="s">
        <v>4</v>
      </c>
      <c r="B12" s="24" t="s">
        <v>39</v>
      </c>
      <c r="C12" s="40" t="s">
        <v>35</v>
      </c>
      <c r="D12" s="40" t="s">
        <v>35</v>
      </c>
      <c r="E12" s="40" t="s">
        <v>35</v>
      </c>
      <c r="F12" s="40" t="s">
        <v>35</v>
      </c>
      <c r="G12" s="40" t="s">
        <v>35</v>
      </c>
      <c r="H12" s="40" t="s">
        <v>35</v>
      </c>
      <c r="I12" s="40" t="s">
        <v>35</v>
      </c>
      <c r="J12" s="40" t="s">
        <v>35</v>
      </c>
      <c r="K12" s="40" t="s">
        <v>35</v>
      </c>
      <c r="L12" s="40" t="s">
        <v>35</v>
      </c>
      <c r="M12" s="40" t="s">
        <v>35</v>
      </c>
      <c r="N12" s="40" t="s">
        <v>35</v>
      </c>
      <c r="O12" s="40" t="s">
        <v>35</v>
      </c>
      <c r="P12" s="40" t="s">
        <v>35</v>
      </c>
      <c r="Q12" s="40" t="s">
        <v>35</v>
      </c>
      <c r="R12" s="40" t="s">
        <v>35</v>
      </c>
      <c r="S12" s="40" t="s">
        <v>35</v>
      </c>
      <c r="T12" s="40" t="s">
        <v>35</v>
      </c>
      <c r="U12" s="40" t="s">
        <v>35</v>
      </c>
      <c r="V12" s="40" t="s">
        <v>35</v>
      </c>
      <c r="W12" s="40" t="s">
        <v>35</v>
      </c>
      <c r="X12" s="40" t="s">
        <v>35</v>
      </c>
      <c r="Y12" s="40" t="s">
        <v>35</v>
      </c>
      <c r="Z12" s="40" t="s">
        <v>35</v>
      </c>
      <c r="AA12" s="40" t="s">
        <v>35</v>
      </c>
      <c r="AB12" s="40" t="s">
        <v>35</v>
      </c>
      <c r="AC12" s="40" t="s">
        <v>35</v>
      </c>
      <c r="AD12" s="40" t="s">
        <v>35</v>
      </c>
      <c r="AE12" s="40" t="s">
        <v>35</v>
      </c>
      <c r="AF12" s="40" t="s">
        <v>35</v>
      </c>
      <c r="AG12" s="40" t="s">
        <v>35</v>
      </c>
      <c r="AH12" s="40" t="s">
        <v>35</v>
      </c>
      <c r="AI12" s="40" t="s">
        <v>35</v>
      </c>
      <c r="AJ12" s="40" t="s">
        <v>35</v>
      </c>
      <c r="AK12" s="40" t="s">
        <v>35</v>
      </c>
    </row>
    <row r="13" spans="1:37" ht="17.25">
      <c r="A13" s="5" t="s">
        <v>5</v>
      </c>
      <c r="B13" s="20" t="s">
        <v>39</v>
      </c>
      <c r="C13" s="41" t="s">
        <v>35</v>
      </c>
      <c r="D13" s="41" t="s">
        <v>35</v>
      </c>
      <c r="E13" s="41" t="s">
        <v>35</v>
      </c>
      <c r="F13" s="41" t="s">
        <v>35</v>
      </c>
      <c r="G13" s="41" t="s">
        <v>35</v>
      </c>
      <c r="H13" s="41" t="s">
        <v>35</v>
      </c>
      <c r="I13" s="41" t="s">
        <v>35</v>
      </c>
      <c r="J13" s="41" t="s">
        <v>35</v>
      </c>
      <c r="K13" s="41" t="s">
        <v>35</v>
      </c>
      <c r="L13" s="41" t="s">
        <v>35</v>
      </c>
      <c r="M13" s="41" t="s">
        <v>35</v>
      </c>
      <c r="N13" s="41" t="s">
        <v>35</v>
      </c>
      <c r="O13" s="41" t="s">
        <v>35</v>
      </c>
      <c r="P13" s="41" t="s">
        <v>35</v>
      </c>
      <c r="Q13" s="41" t="s">
        <v>35</v>
      </c>
      <c r="R13" s="41" t="s">
        <v>35</v>
      </c>
      <c r="S13" s="41" t="s">
        <v>35</v>
      </c>
      <c r="T13" s="41" t="s">
        <v>35</v>
      </c>
      <c r="U13" s="41" t="s">
        <v>35</v>
      </c>
      <c r="V13" s="41" t="s">
        <v>35</v>
      </c>
      <c r="W13" s="41" t="s">
        <v>35</v>
      </c>
      <c r="X13" s="41" t="s">
        <v>35</v>
      </c>
      <c r="Y13" s="41" t="s">
        <v>35</v>
      </c>
      <c r="Z13" s="41" t="s">
        <v>35</v>
      </c>
      <c r="AA13" s="41" t="s">
        <v>35</v>
      </c>
      <c r="AB13" s="41" t="s">
        <v>35</v>
      </c>
      <c r="AC13" s="41" t="s">
        <v>35</v>
      </c>
      <c r="AD13" s="41" t="s">
        <v>35</v>
      </c>
      <c r="AE13" s="41" t="s">
        <v>35</v>
      </c>
      <c r="AF13" s="41" t="s">
        <v>35</v>
      </c>
      <c r="AG13" s="41" t="s">
        <v>35</v>
      </c>
      <c r="AH13" s="41" t="s">
        <v>35</v>
      </c>
      <c r="AI13" s="41" t="s">
        <v>35</v>
      </c>
      <c r="AJ13" s="41" t="s">
        <v>35</v>
      </c>
      <c r="AK13" s="41" t="s">
        <v>35</v>
      </c>
    </row>
    <row r="14" spans="1:37" ht="17.25">
      <c r="A14" s="9" t="s">
        <v>6</v>
      </c>
      <c r="B14" s="25" t="s">
        <v>41</v>
      </c>
      <c r="C14" s="40"/>
      <c r="D14" s="40"/>
      <c r="E14" s="40" t="s">
        <v>35</v>
      </c>
      <c r="F14" s="40"/>
      <c r="G14" s="40" t="s">
        <v>35</v>
      </c>
      <c r="H14" s="40"/>
      <c r="I14" s="40" t="s">
        <v>35</v>
      </c>
      <c r="J14" s="40"/>
      <c r="K14" s="40" t="s">
        <v>35</v>
      </c>
      <c r="L14" s="40"/>
      <c r="M14" s="40" t="s">
        <v>35</v>
      </c>
      <c r="N14" s="40"/>
      <c r="O14" s="40" t="s">
        <v>35</v>
      </c>
      <c r="P14" s="40"/>
      <c r="Q14" s="40" t="s">
        <v>35</v>
      </c>
      <c r="R14" s="40"/>
      <c r="S14" s="40" t="s">
        <v>35</v>
      </c>
      <c r="T14" s="40"/>
      <c r="U14" s="40" t="s">
        <v>35</v>
      </c>
      <c r="V14" s="40"/>
      <c r="W14" s="40" t="s">
        <v>35</v>
      </c>
      <c r="X14" s="40"/>
      <c r="Y14" s="40" t="s">
        <v>35</v>
      </c>
      <c r="Z14" s="40"/>
      <c r="AA14" s="40" t="s">
        <v>35</v>
      </c>
      <c r="AB14" s="40"/>
      <c r="AC14" s="40" t="s">
        <v>35</v>
      </c>
      <c r="AD14" s="40"/>
      <c r="AE14" s="40" t="s">
        <v>35</v>
      </c>
      <c r="AF14" s="40"/>
      <c r="AG14" s="40" t="s">
        <v>35</v>
      </c>
      <c r="AH14" s="40"/>
      <c r="AI14" s="40" t="s">
        <v>35</v>
      </c>
      <c r="AJ14" s="40"/>
      <c r="AK14" s="40" t="s">
        <v>35</v>
      </c>
    </row>
    <row r="15" spans="1:37" ht="18.75">
      <c r="A15" s="5" t="s">
        <v>7</v>
      </c>
      <c r="B15" s="19" t="s">
        <v>40</v>
      </c>
      <c r="C15" s="41"/>
      <c r="D15" s="41"/>
      <c r="E15" s="41" t="s">
        <v>35</v>
      </c>
      <c r="F15" s="41"/>
      <c r="G15" s="41" t="s">
        <v>35</v>
      </c>
      <c r="H15" s="41"/>
      <c r="I15" s="41" t="s">
        <v>35</v>
      </c>
      <c r="J15" s="41"/>
      <c r="K15" s="41" t="s">
        <v>35</v>
      </c>
      <c r="L15" s="41"/>
      <c r="M15" s="41" t="s">
        <v>35</v>
      </c>
      <c r="N15" s="41"/>
      <c r="O15" s="41" t="s">
        <v>35</v>
      </c>
      <c r="P15" s="41"/>
      <c r="Q15" s="41" t="s">
        <v>35</v>
      </c>
      <c r="R15" s="41"/>
      <c r="S15" s="41" t="s">
        <v>35</v>
      </c>
      <c r="T15" s="41"/>
      <c r="U15" s="41" t="s">
        <v>35</v>
      </c>
      <c r="V15" s="41"/>
      <c r="W15" s="41" t="s">
        <v>35</v>
      </c>
      <c r="X15" s="41"/>
      <c r="Y15" s="41" t="s">
        <v>35</v>
      </c>
      <c r="Z15" s="41"/>
      <c r="AA15" s="41" t="s">
        <v>35</v>
      </c>
      <c r="AB15" s="41"/>
      <c r="AC15" s="41" t="s">
        <v>35</v>
      </c>
      <c r="AD15" s="41"/>
      <c r="AE15" s="41" t="s">
        <v>35</v>
      </c>
      <c r="AF15" s="41"/>
      <c r="AG15" s="41" t="s">
        <v>35</v>
      </c>
      <c r="AH15" s="41"/>
      <c r="AI15" s="41" t="s">
        <v>35</v>
      </c>
      <c r="AJ15" s="41"/>
      <c r="AK15" s="41" t="s">
        <v>35</v>
      </c>
    </row>
    <row r="16" spans="1:37" ht="17.25">
      <c r="A16" s="9" t="s">
        <v>8</v>
      </c>
      <c r="B16" s="24" t="s">
        <v>39</v>
      </c>
      <c r="C16" s="40"/>
      <c r="D16" s="40" t="s">
        <v>35</v>
      </c>
      <c r="E16" s="40" t="s">
        <v>34</v>
      </c>
      <c r="F16" s="40" t="s">
        <v>35</v>
      </c>
      <c r="G16" s="40" t="s">
        <v>34</v>
      </c>
      <c r="H16" s="40" t="s">
        <v>35</v>
      </c>
      <c r="I16" s="40" t="s">
        <v>34</v>
      </c>
      <c r="J16" s="40" t="s">
        <v>35</v>
      </c>
      <c r="K16" s="40" t="s">
        <v>34</v>
      </c>
      <c r="L16" s="40" t="s">
        <v>35</v>
      </c>
      <c r="M16" s="40" t="s">
        <v>34</v>
      </c>
      <c r="N16" s="40" t="s">
        <v>35</v>
      </c>
      <c r="O16" s="40" t="s">
        <v>34</v>
      </c>
      <c r="P16" s="40" t="s">
        <v>35</v>
      </c>
      <c r="Q16" s="40" t="s">
        <v>34</v>
      </c>
      <c r="R16" s="40" t="s">
        <v>35</v>
      </c>
      <c r="S16" s="40" t="s">
        <v>34</v>
      </c>
      <c r="T16" s="40" t="s">
        <v>35</v>
      </c>
      <c r="U16" s="40" t="s">
        <v>34</v>
      </c>
      <c r="V16" s="40" t="s">
        <v>35</v>
      </c>
      <c r="W16" s="40" t="s">
        <v>34</v>
      </c>
      <c r="X16" s="40" t="s">
        <v>35</v>
      </c>
      <c r="Y16" s="40" t="s">
        <v>34</v>
      </c>
      <c r="Z16" s="40" t="s">
        <v>35</v>
      </c>
      <c r="AA16" s="40" t="s">
        <v>34</v>
      </c>
      <c r="AB16" s="40" t="s">
        <v>35</v>
      </c>
      <c r="AC16" s="40" t="s">
        <v>34</v>
      </c>
      <c r="AD16" s="40" t="s">
        <v>35</v>
      </c>
      <c r="AE16" s="40" t="s">
        <v>34</v>
      </c>
      <c r="AF16" s="40" t="s">
        <v>35</v>
      </c>
      <c r="AG16" s="40" t="s">
        <v>34</v>
      </c>
      <c r="AH16" s="40" t="s">
        <v>35</v>
      </c>
      <c r="AI16" s="40" t="s">
        <v>34</v>
      </c>
      <c r="AJ16" s="40" t="s">
        <v>35</v>
      </c>
      <c r="AK16" s="40" t="s">
        <v>34</v>
      </c>
    </row>
    <row r="17" spans="1:37" ht="18.75">
      <c r="A17" s="5" t="s">
        <v>21</v>
      </c>
      <c r="B17" s="19" t="s">
        <v>40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ht="17.25">
      <c r="A18" s="9" t="s">
        <v>9</v>
      </c>
      <c r="B18" s="24" t="s">
        <v>39</v>
      </c>
      <c r="C18" s="40"/>
      <c r="D18" s="40" t="s">
        <v>35</v>
      </c>
      <c r="E18" s="40" t="s">
        <v>35</v>
      </c>
      <c r="F18" s="40" t="s">
        <v>35</v>
      </c>
      <c r="G18" s="40" t="s">
        <v>35</v>
      </c>
      <c r="H18" s="40" t="s">
        <v>35</v>
      </c>
      <c r="I18" s="40" t="s">
        <v>35</v>
      </c>
      <c r="J18" s="40" t="s">
        <v>35</v>
      </c>
      <c r="K18" s="40" t="s">
        <v>35</v>
      </c>
      <c r="L18" s="40" t="s">
        <v>35</v>
      </c>
      <c r="M18" s="40" t="s">
        <v>35</v>
      </c>
      <c r="N18" s="40" t="s">
        <v>35</v>
      </c>
      <c r="O18" s="40" t="s">
        <v>35</v>
      </c>
      <c r="P18" s="40" t="s">
        <v>35</v>
      </c>
      <c r="Q18" s="40" t="s">
        <v>35</v>
      </c>
      <c r="R18" s="40" t="s">
        <v>35</v>
      </c>
      <c r="S18" s="40" t="s">
        <v>35</v>
      </c>
      <c r="T18" s="40" t="s">
        <v>35</v>
      </c>
      <c r="U18" s="40" t="s">
        <v>35</v>
      </c>
      <c r="V18" s="40" t="s">
        <v>35</v>
      </c>
      <c r="W18" s="40" t="s">
        <v>35</v>
      </c>
      <c r="X18" s="40" t="s">
        <v>35</v>
      </c>
      <c r="Y18" s="40" t="s">
        <v>35</v>
      </c>
      <c r="Z18" s="40" t="s">
        <v>35</v>
      </c>
      <c r="AA18" s="40" t="s">
        <v>35</v>
      </c>
      <c r="AB18" s="40" t="s">
        <v>35</v>
      </c>
      <c r="AC18" s="40" t="s">
        <v>35</v>
      </c>
      <c r="AD18" s="40" t="s">
        <v>35</v>
      </c>
      <c r="AE18" s="40" t="s">
        <v>35</v>
      </c>
      <c r="AF18" s="40" t="s">
        <v>35</v>
      </c>
      <c r="AG18" s="40" t="s">
        <v>35</v>
      </c>
      <c r="AH18" s="40" t="s">
        <v>35</v>
      </c>
      <c r="AI18" s="40" t="s">
        <v>35</v>
      </c>
      <c r="AJ18" s="40" t="s">
        <v>35</v>
      </c>
      <c r="AK18" s="40" t="s">
        <v>35</v>
      </c>
    </row>
    <row r="19" spans="1:37" ht="17.25">
      <c r="A19" s="5" t="s">
        <v>10</v>
      </c>
      <c r="B19" s="21" t="s">
        <v>41</v>
      </c>
      <c r="C19" s="41"/>
      <c r="D19" s="41"/>
      <c r="E19" s="41"/>
      <c r="F19" s="41"/>
      <c r="G19" s="41" t="s">
        <v>35</v>
      </c>
      <c r="H19" s="41"/>
      <c r="I19" s="41"/>
      <c r="J19" s="41"/>
      <c r="K19" s="41" t="s">
        <v>35</v>
      </c>
      <c r="L19" s="41"/>
      <c r="M19" s="41"/>
      <c r="N19" s="41"/>
      <c r="O19" s="41" t="s">
        <v>35</v>
      </c>
      <c r="P19" s="41"/>
      <c r="Q19" s="41"/>
      <c r="R19" s="41"/>
      <c r="S19" s="41" t="s">
        <v>35</v>
      </c>
      <c r="T19" s="41"/>
      <c r="U19" s="41"/>
      <c r="V19" s="41"/>
      <c r="W19" s="41" t="s">
        <v>35</v>
      </c>
      <c r="X19" s="41"/>
      <c r="Y19" s="41"/>
      <c r="Z19" s="41"/>
      <c r="AA19" s="41" t="s">
        <v>35</v>
      </c>
      <c r="AB19" s="41"/>
      <c r="AC19" s="41"/>
      <c r="AD19" s="41"/>
      <c r="AE19" s="41" t="s">
        <v>35</v>
      </c>
      <c r="AF19" s="41"/>
      <c r="AG19" s="41"/>
      <c r="AH19" s="41"/>
      <c r="AI19" s="41" t="s">
        <v>35</v>
      </c>
      <c r="AJ19" s="41"/>
      <c r="AK19" s="41"/>
    </row>
    <row r="20" spans="1:37" ht="18" thickBot="1">
      <c r="A20" s="10" t="s">
        <v>11</v>
      </c>
      <c r="B20" s="24" t="s">
        <v>39</v>
      </c>
      <c r="C20" s="42"/>
      <c r="D20" s="42" t="s">
        <v>35</v>
      </c>
      <c r="E20" s="42" t="s">
        <v>35</v>
      </c>
      <c r="F20" s="42" t="s">
        <v>35</v>
      </c>
      <c r="G20" s="42" t="s">
        <v>35</v>
      </c>
      <c r="H20" s="42" t="s">
        <v>35</v>
      </c>
      <c r="I20" s="42" t="s">
        <v>35</v>
      </c>
      <c r="J20" s="42" t="s">
        <v>35</v>
      </c>
      <c r="K20" s="42" t="s">
        <v>35</v>
      </c>
      <c r="L20" s="42" t="s">
        <v>35</v>
      </c>
      <c r="M20" s="42" t="s">
        <v>35</v>
      </c>
      <c r="N20" s="42" t="s">
        <v>35</v>
      </c>
      <c r="O20" s="42" t="s">
        <v>35</v>
      </c>
      <c r="P20" s="42" t="s">
        <v>35</v>
      </c>
      <c r="Q20" s="42" t="s">
        <v>35</v>
      </c>
      <c r="R20" s="42" t="s">
        <v>35</v>
      </c>
      <c r="S20" s="42" t="s">
        <v>35</v>
      </c>
      <c r="T20" s="42" t="s">
        <v>35</v>
      </c>
      <c r="U20" s="42" t="s">
        <v>35</v>
      </c>
      <c r="V20" s="42" t="s">
        <v>35</v>
      </c>
      <c r="W20" s="42" t="s">
        <v>35</v>
      </c>
      <c r="X20" s="42" t="s">
        <v>35</v>
      </c>
      <c r="Y20" s="42" t="s">
        <v>35</v>
      </c>
      <c r="Z20" s="42" t="s">
        <v>35</v>
      </c>
      <c r="AA20" s="42" t="s">
        <v>35</v>
      </c>
      <c r="AB20" s="42" t="s">
        <v>35</v>
      </c>
      <c r="AC20" s="42" t="s">
        <v>35</v>
      </c>
      <c r="AD20" s="42" t="s">
        <v>35</v>
      </c>
      <c r="AE20" s="42" t="s">
        <v>35</v>
      </c>
      <c r="AF20" s="42" t="s">
        <v>35</v>
      </c>
      <c r="AG20" s="42" t="s">
        <v>35</v>
      </c>
      <c r="AH20" s="42" t="s">
        <v>35</v>
      </c>
      <c r="AI20" s="42" t="s">
        <v>35</v>
      </c>
      <c r="AJ20" s="42" t="s">
        <v>35</v>
      </c>
      <c r="AK20" s="42" t="s">
        <v>35</v>
      </c>
    </row>
    <row r="21" spans="1:7" ht="12.75">
      <c r="A21" s="6"/>
      <c r="B21" s="15"/>
      <c r="C21" s="41"/>
      <c r="D21" s="41"/>
      <c r="E21" s="41"/>
      <c r="F21" s="41"/>
      <c r="G21" s="41"/>
    </row>
    <row r="22" spans="2:7" ht="13.5" thickBot="1">
      <c r="B22" s="3"/>
      <c r="C22" s="43"/>
      <c r="D22" s="43"/>
      <c r="E22" s="43"/>
      <c r="F22" s="43"/>
      <c r="G22" s="43"/>
    </row>
    <row r="23" spans="1:37" ht="15.75">
      <c r="A23" s="8" t="s">
        <v>12</v>
      </c>
      <c r="B23" s="3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2.75">
      <c r="A24" s="5"/>
      <c r="B24" s="32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ht="18" thickBot="1">
      <c r="A25" s="10" t="s">
        <v>13</v>
      </c>
      <c r="B25" s="33" t="s">
        <v>39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7" ht="12.75">
      <c r="A26" s="6"/>
      <c r="B26" s="14"/>
      <c r="C26" s="41"/>
      <c r="D26" s="41"/>
      <c r="E26" s="41"/>
      <c r="F26" s="41"/>
      <c r="G26" s="41"/>
    </row>
    <row r="27" spans="2:7" ht="13.5" thickBot="1">
      <c r="B27" s="3"/>
      <c r="C27" s="43"/>
      <c r="D27" s="43"/>
      <c r="E27" s="43"/>
      <c r="F27" s="43"/>
      <c r="G27" s="43"/>
    </row>
    <row r="28" spans="1:37" ht="15.75">
      <c r="A28" s="8" t="s">
        <v>14</v>
      </c>
      <c r="B28" s="3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2.75">
      <c r="A29" s="5"/>
      <c r="B29" s="22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:37" ht="17.25">
      <c r="A30" s="9" t="s">
        <v>15</v>
      </c>
      <c r="B30" s="24" t="s">
        <v>39</v>
      </c>
      <c r="C30" s="40" t="s">
        <v>35</v>
      </c>
      <c r="D30" s="40" t="s">
        <v>35</v>
      </c>
      <c r="E30" s="40" t="s">
        <v>35</v>
      </c>
      <c r="F30" s="40" t="s">
        <v>35</v>
      </c>
      <c r="G30" s="40" t="s">
        <v>35</v>
      </c>
      <c r="H30" s="40" t="s">
        <v>35</v>
      </c>
      <c r="I30" s="40" t="s">
        <v>35</v>
      </c>
      <c r="J30" s="40" t="s">
        <v>35</v>
      </c>
      <c r="K30" s="40" t="s">
        <v>35</v>
      </c>
      <c r="L30" s="40" t="s">
        <v>35</v>
      </c>
      <c r="M30" s="40" t="s">
        <v>35</v>
      </c>
      <c r="N30" s="40" t="s">
        <v>35</v>
      </c>
      <c r="O30" s="40" t="s">
        <v>35</v>
      </c>
      <c r="P30" s="40" t="s">
        <v>35</v>
      </c>
      <c r="Q30" s="40" t="s">
        <v>35</v>
      </c>
      <c r="R30" s="40" t="s">
        <v>35</v>
      </c>
      <c r="S30" s="40" t="s">
        <v>35</v>
      </c>
      <c r="T30" s="40" t="s">
        <v>35</v>
      </c>
      <c r="U30" s="40" t="s">
        <v>35</v>
      </c>
      <c r="V30" s="40" t="s">
        <v>35</v>
      </c>
      <c r="W30" s="40" t="s">
        <v>35</v>
      </c>
      <c r="X30" s="40" t="s">
        <v>35</v>
      </c>
      <c r="Y30" s="40" t="s">
        <v>35</v>
      </c>
      <c r="Z30" s="40" t="s">
        <v>35</v>
      </c>
      <c r="AA30" s="40" t="s">
        <v>35</v>
      </c>
      <c r="AB30" s="40" t="s">
        <v>35</v>
      </c>
      <c r="AC30" s="40" t="s">
        <v>35</v>
      </c>
      <c r="AD30" s="40" t="s">
        <v>35</v>
      </c>
      <c r="AE30" s="40" t="s">
        <v>35</v>
      </c>
      <c r="AF30" s="40" t="s">
        <v>35</v>
      </c>
      <c r="AG30" s="40" t="s">
        <v>35</v>
      </c>
      <c r="AH30" s="40" t="s">
        <v>35</v>
      </c>
      <c r="AI30" s="40" t="s">
        <v>35</v>
      </c>
      <c r="AJ30" s="40" t="s">
        <v>35</v>
      </c>
      <c r="AK30" s="40" t="s">
        <v>35</v>
      </c>
    </row>
    <row r="31" spans="1:37" ht="17.25">
      <c r="A31" s="5" t="s">
        <v>16</v>
      </c>
      <c r="B31" s="21" t="s">
        <v>41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ht="17.25">
      <c r="A32" s="9" t="s">
        <v>17</v>
      </c>
      <c r="B32" s="25" t="s">
        <v>41</v>
      </c>
      <c r="C32" s="40"/>
      <c r="D32" s="40"/>
      <c r="E32" s="40" t="s">
        <v>35</v>
      </c>
      <c r="F32" s="40"/>
      <c r="G32" s="40" t="s">
        <v>35</v>
      </c>
      <c r="H32" s="40"/>
      <c r="I32" s="40" t="s">
        <v>35</v>
      </c>
      <c r="J32" s="40"/>
      <c r="K32" s="40" t="s">
        <v>35</v>
      </c>
      <c r="L32" s="40"/>
      <c r="M32" s="40" t="s">
        <v>35</v>
      </c>
      <c r="N32" s="40"/>
      <c r="O32" s="40" t="s">
        <v>35</v>
      </c>
      <c r="P32" s="40"/>
      <c r="Q32" s="40" t="s">
        <v>35</v>
      </c>
      <c r="R32" s="40"/>
      <c r="S32" s="40" t="s">
        <v>35</v>
      </c>
      <c r="T32" s="40"/>
      <c r="U32" s="40" t="s">
        <v>35</v>
      </c>
      <c r="V32" s="40"/>
      <c r="W32" s="40" t="s">
        <v>35</v>
      </c>
      <c r="X32" s="40"/>
      <c r="Y32" s="40" t="s">
        <v>35</v>
      </c>
      <c r="Z32" s="40"/>
      <c r="AA32" s="40" t="s">
        <v>35</v>
      </c>
      <c r="AB32" s="40"/>
      <c r="AC32" s="40" t="s">
        <v>35</v>
      </c>
      <c r="AD32" s="40"/>
      <c r="AE32" s="40" t="s">
        <v>35</v>
      </c>
      <c r="AF32" s="40"/>
      <c r="AG32" s="40" t="s">
        <v>35</v>
      </c>
      <c r="AH32" s="40"/>
      <c r="AI32" s="40" t="s">
        <v>35</v>
      </c>
      <c r="AJ32" s="40"/>
      <c r="AK32" s="40" t="s">
        <v>35</v>
      </c>
    </row>
    <row r="33" spans="1:37" ht="17.25">
      <c r="A33" s="5" t="s">
        <v>75</v>
      </c>
      <c r="B33" s="21" t="s">
        <v>41</v>
      </c>
      <c r="C33" s="41" t="s">
        <v>35</v>
      </c>
      <c r="D33" s="41"/>
      <c r="E33" s="41" t="s">
        <v>35</v>
      </c>
      <c r="F33" s="41"/>
      <c r="G33" s="41" t="s">
        <v>35</v>
      </c>
      <c r="H33" s="41"/>
      <c r="I33" s="41" t="s">
        <v>35</v>
      </c>
      <c r="J33" s="41"/>
      <c r="K33" s="41" t="s">
        <v>35</v>
      </c>
      <c r="L33" s="41"/>
      <c r="M33" s="41" t="s">
        <v>35</v>
      </c>
      <c r="N33" s="41"/>
      <c r="O33" s="41" t="s">
        <v>35</v>
      </c>
      <c r="P33" s="41"/>
      <c r="Q33" s="41" t="s">
        <v>35</v>
      </c>
      <c r="R33" s="41"/>
      <c r="S33" s="41" t="s">
        <v>35</v>
      </c>
      <c r="T33" s="41"/>
      <c r="U33" s="41" t="s">
        <v>35</v>
      </c>
      <c r="V33" s="41"/>
      <c r="W33" s="41" t="s">
        <v>35</v>
      </c>
      <c r="X33" s="41"/>
      <c r="Y33" s="41" t="s">
        <v>35</v>
      </c>
      <c r="Z33" s="41"/>
      <c r="AA33" s="41" t="s">
        <v>35</v>
      </c>
      <c r="AB33" s="41"/>
      <c r="AC33" s="41" t="s">
        <v>35</v>
      </c>
      <c r="AD33" s="41"/>
      <c r="AE33" s="41" t="s">
        <v>35</v>
      </c>
      <c r="AF33" s="41"/>
      <c r="AG33" s="41" t="s">
        <v>35</v>
      </c>
      <c r="AH33" s="41"/>
      <c r="AI33" s="41" t="s">
        <v>35</v>
      </c>
      <c r="AJ33" s="41"/>
      <c r="AK33" s="41" t="s">
        <v>35</v>
      </c>
    </row>
    <row r="34" spans="1:37" ht="17.25">
      <c r="A34" s="9" t="s">
        <v>18</v>
      </c>
      <c r="B34" s="25" t="s">
        <v>41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1:37" ht="17.25">
      <c r="A35" s="5" t="s">
        <v>204</v>
      </c>
      <c r="B35" s="20" t="s">
        <v>39</v>
      </c>
      <c r="C35" s="41" t="s">
        <v>35</v>
      </c>
      <c r="D35" s="41" t="s">
        <v>35</v>
      </c>
      <c r="E35" s="41" t="s">
        <v>35</v>
      </c>
      <c r="F35" s="41" t="s">
        <v>35</v>
      </c>
      <c r="G35" s="41" t="s">
        <v>35</v>
      </c>
      <c r="H35" s="41" t="s">
        <v>35</v>
      </c>
      <c r="I35" s="41" t="s">
        <v>35</v>
      </c>
      <c r="J35" s="41" t="s">
        <v>35</v>
      </c>
      <c r="K35" s="41" t="s">
        <v>35</v>
      </c>
      <c r="L35" s="41" t="s">
        <v>35</v>
      </c>
      <c r="M35" s="41" t="s">
        <v>35</v>
      </c>
      <c r="N35" s="41" t="s">
        <v>35</v>
      </c>
      <c r="O35" s="41" t="s">
        <v>35</v>
      </c>
      <c r="P35" s="41" t="s">
        <v>35</v>
      </c>
      <c r="Q35" s="41" t="s">
        <v>35</v>
      </c>
      <c r="R35" s="41" t="s">
        <v>35</v>
      </c>
      <c r="S35" s="41" t="s">
        <v>35</v>
      </c>
      <c r="T35" s="41" t="s">
        <v>35</v>
      </c>
      <c r="U35" s="41" t="s">
        <v>35</v>
      </c>
      <c r="V35" s="41" t="s">
        <v>35</v>
      </c>
      <c r="W35" s="41" t="s">
        <v>35</v>
      </c>
      <c r="X35" s="41" t="s">
        <v>35</v>
      </c>
      <c r="Y35" s="41" t="s">
        <v>35</v>
      </c>
      <c r="Z35" s="41" t="s">
        <v>35</v>
      </c>
      <c r="AA35" s="41" t="s">
        <v>35</v>
      </c>
      <c r="AB35" s="41" t="s">
        <v>35</v>
      </c>
      <c r="AC35" s="41" t="s">
        <v>35</v>
      </c>
      <c r="AD35" s="41" t="s">
        <v>35</v>
      </c>
      <c r="AE35" s="41" t="s">
        <v>35</v>
      </c>
      <c r="AF35" s="41" t="s">
        <v>35</v>
      </c>
      <c r="AG35" s="41" t="s">
        <v>35</v>
      </c>
      <c r="AH35" s="41" t="s">
        <v>35</v>
      </c>
      <c r="AI35" s="41" t="s">
        <v>35</v>
      </c>
      <c r="AJ35" s="41" t="s">
        <v>35</v>
      </c>
      <c r="AK35" s="41" t="s">
        <v>35</v>
      </c>
    </row>
    <row r="36" spans="1:37" ht="17.25">
      <c r="A36" s="5" t="s">
        <v>205</v>
      </c>
      <c r="B36" s="20" t="s">
        <v>39</v>
      </c>
      <c r="C36" s="41" t="s">
        <v>35</v>
      </c>
      <c r="D36" s="41" t="s">
        <v>35</v>
      </c>
      <c r="E36" s="41" t="s">
        <v>35</v>
      </c>
      <c r="F36" s="41" t="s">
        <v>35</v>
      </c>
      <c r="G36" s="41" t="s">
        <v>35</v>
      </c>
      <c r="H36" s="41" t="s">
        <v>35</v>
      </c>
      <c r="I36" s="41" t="s">
        <v>35</v>
      </c>
      <c r="J36" s="41" t="s">
        <v>35</v>
      </c>
      <c r="K36" s="41" t="s">
        <v>35</v>
      </c>
      <c r="L36" s="41" t="s">
        <v>35</v>
      </c>
      <c r="M36" s="41" t="s">
        <v>35</v>
      </c>
      <c r="N36" s="41" t="s">
        <v>35</v>
      </c>
      <c r="O36" s="41" t="s">
        <v>35</v>
      </c>
      <c r="P36" s="41" t="s">
        <v>35</v>
      </c>
      <c r="Q36" s="41" t="s">
        <v>35</v>
      </c>
      <c r="R36" s="41" t="s">
        <v>35</v>
      </c>
      <c r="S36" s="41" t="s">
        <v>35</v>
      </c>
      <c r="T36" s="41" t="s">
        <v>35</v>
      </c>
      <c r="U36" s="41" t="s">
        <v>35</v>
      </c>
      <c r="V36" s="41" t="s">
        <v>35</v>
      </c>
      <c r="W36" s="41" t="s">
        <v>35</v>
      </c>
      <c r="X36" s="41" t="s">
        <v>35</v>
      </c>
      <c r="Y36" s="41" t="s">
        <v>35</v>
      </c>
      <c r="Z36" s="41" t="s">
        <v>35</v>
      </c>
      <c r="AA36" s="41" t="s">
        <v>35</v>
      </c>
      <c r="AB36" s="41" t="s">
        <v>35</v>
      </c>
      <c r="AC36" s="41" t="s">
        <v>35</v>
      </c>
      <c r="AD36" s="41" t="s">
        <v>35</v>
      </c>
      <c r="AE36" s="41" t="s">
        <v>35</v>
      </c>
      <c r="AF36" s="41" t="s">
        <v>35</v>
      </c>
      <c r="AG36" s="41" t="s">
        <v>35</v>
      </c>
      <c r="AH36" s="41" t="s">
        <v>35</v>
      </c>
      <c r="AI36" s="41" t="s">
        <v>35</v>
      </c>
      <c r="AJ36" s="41" t="s">
        <v>35</v>
      </c>
      <c r="AK36" s="41" t="s">
        <v>35</v>
      </c>
    </row>
    <row r="37" spans="1:37" ht="18.75">
      <c r="A37" s="9" t="s">
        <v>206</v>
      </c>
      <c r="B37" s="26" t="s">
        <v>40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1:37" ht="18.75">
      <c r="A38" s="9" t="s">
        <v>207</v>
      </c>
      <c r="B38" s="26" t="s">
        <v>40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ht="17.25">
      <c r="A39" s="5" t="s">
        <v>208</v>
      </c>
      <c r="B39" s="20" t="s">
        <v>39</v>
      </c>
      <c r="C39" s="41" t="s">
        <v>35</v>
      </c>
      <c r="D39" s="41" t="s">
        <v>35</v>
      </c>
      <c r="E39" s="41" t="s">
        <v>35</v>
      </c>
      <c r="F39" s="41" t="s">
        <v>35</v>
      </c>
      <c r="G39" s="41" t="s">
        <v>35</v>
      </c>
      <c r="H39" s="41" t="s">
        <v>35</v>
      </c>
      <c r="I39" s="41" t="s">
        <v>35</v>
      </c>
      <c r="J39" s="41" t="s">
        <v>35</v>
      </c>
      <c r="K39" s="41" t="s">
        <v>35</v>
      </c>
      <c r="L39" s="41" t="s">
        <v>35</v>
      </c>
      <c r="M39" s="41" t="s">
        <v>35</v>
      </c>
      <c r="N39" s="41" t="s">
        <v>35</v>
      </c>
      <c r="O39" s="41" t="s">
        <v>35</v>
      </c>
      <c r="P39" s="41" t="s">
        <v>35</v>
      </c>
      <c r="Q39" s="41" t="s">
        <v>35</v>
      </c>
      <c r="R39" s="41" t="s">
        <v>35</v>
      </c>
      <c r="S39" s="41" t="s">
        <v>35</v>
      </c>
      <c r="T39" s="41" t="s">
        <v>35</v>
      </c>
      <c r="U39" s="41" t="s">
        <v>35</v>
      </c>
      <c r="V39" s="41" t="s">
        <v>35</v>
      </c>
      <c r="W39" s="41" t="s">
        <v>35</v>
      </c>
      <c r="X39" s="41" t="s">
        <v>35</v>
      </c>
      <c r="Y39" s="41" t="s">
        <v>35</v>
      </c>
      <c r="Z39" s="41" t="s">
        <v>35</v>
      </c>
      <c r="AA39" s="41" t="s">
        <v>35</v>
      </c>
      <c r="AB39" s="41" t="s">
        <v>35</v>
      </c>
      <c r="AC39" s="41" t="s">
        <v>35</v>
      </c>
      <c r="AD39" s="41" t="s">
        <v>35</v>
      </c>
      <c r="AE39" s="41" t="s">
        <v>35</v>
      </c>
      <c r="AF39" s="41" t="s">
        <v>35</v>
      </c>
      <c r="AG39" s="41" t="s">
        <v>35</v>
      </c>
      <c r="AH39" s="41" t="s">
        <v>35</v>
      </c>
      <c r="AI39" s="41" t="s">
        <v>35</v>
      </c>
      <c r="AJ39" s="41" t="s">
        <v>35</v>
      </c>
      <c r="AK39" s="41" t="s">
        <v>35</v>
      </c>
    </row>
    <row r="40" spans="1:37" ht="17.25">
      <c r="A40" s="5" t="s">
        <v>209</v>
      </c>
      <c r="B40" s="20" t="s">
        <v>39</v>
      </c>
      <c r="C40" s="41" t="s">
        <v>35</v>
      </c>
      <c r="D40" s="41" t="s">
        <v>35</v>
      </c>
      <c r="E40" s="41" t="s">
        <v>35</v>
      </c>
      <c r="F40" s="41" t="s">
        <v>35</v>
      </c>
      <c r="G40" s="41" t="s">
        <v>35</v>
      </c>
      <c r="H40" s="41" t="s">
        <v>35</v>
      </c>
      <c r="I40" s="41" t="s">
        <v>35</v>
      </c>
      <c r="J40" s="41" t="s">
        <v>35</v>
      </c>
      <c r="K40" s="41" t="s">
        <v>35</v>
      </c>
      <c r="L40" s="41" t="s">
        <v>35</v>
      </c>
      <c r="M40" s="41" t="s">
        <v>35</v>
      </c>
      <c r="N40" s="41" t="s">
        <v>35</v>
      </c>
      <c r="O40" s="41" t="s">
        <v>35</v>
      </c>
      <c r="P40" s="41" t="s">
        <v>35</v>
      </c>
      <c r="Q40" s="41" t="s">
        <v>35</v>
      </c>
      <c r="R40" s="41" t="s">
        <v>35</v>
      </c>
      <c r="S40" s="41" t="s">
        <v>35</v>
      </c>
      <c r="T40" s="41" t="s">
        <v>35</v>
      </c>
      <c r="U40" s="41" t="s">
        <v>35</v>
      </c>
      <c r="V40" s="41" t="s">
        <v>35</v>
      </c>
      <c r="W40" s="41" t="s">
        <v>35</v>
      </c>
      <c r="X40" s="41" t="s">
        <v>35</v>
      </c>
      <c r="Y40" s="41" t="s">
        <v>35</v>
      </c>
      <c r="Z40" s="41" t="s">
        <v>35</v>
      </c>
      <c r="AA40" s="41" t="s">
        <v>35</v>
      </c>
      <c r="AB40" s="41" t="s">
        <v>35</v>
      </c>
      <c r="AC40" s="41" t="s">
        <v>35</v>
      </c>
      <c r="AD40" s="41" t="s">
        <v>35</v>
      </c>
      <c r="AE40" s="41" t="s">
        <v>35</v>
      </c>
      <c r="AF40" s="41" t="s">
        <v>35</v>
      </c>
      <c r="AG40" s="41" t="s">
        <v>35</v>
      </c>
      <c r="AH40" s="41" t="s">
        <v>35</v>
      </c>
      <c r="AI40" s="41" t="s">
        <v>35</v>
      </c>
      <c r="AJ40" s="41" t="s">
        <v>35</v>
      </c>
      <c r="AK40" s="41" t="s">
        <v>35</v>
      </c>
    </row>
    <row r="41" spans="1:37" ht="17.25">
      <c r="A41" s="9" t="s">
        <v>23</v>
      </c>
      <c r="B41" s="24" t="s">
        <v>39</v>
      </c>
      <c r="C41" s="40" t="s">
        <v>35</v>
      </c>
      <c r="D41" s="40" t="s">
        <v>35</v>
      </c>
      <c r="E41" s="40" t="s">
        <v>35</v>
      </c>
      <c r="F41" s="40" t="s">
        <v>35</v>
      </c>
      <c r="G41" s="40" t="s">
        <v>35</v>
      </c>
      <c r="H41" s="40" t="s">
        <v>35</v>
      </c>
      <c r="I41" s="40" t="s">
        <v>35</v>
      </c>
      <c r="J41" s="40" t="s">
        <v>35</v>
      </c>
      <c r="K41" s="40" t="s">
        <v>35</v>
      </c>
      <c r="L41" s="40" t="s">
        <v>35</v>
      </c>
      <c r="M41" s="40" t="s">
        <v>35</v>
      </c>
      <c r="N41" s="40" t="s">
        <v>35</v>
      </c>
      <c r="O41" s="40" t="s">
        <v>35</v>
      </c>
      <c r="P41" s="40" t="s">
        <v>35</v>
      </c>
      <c r="Q41" s="40" t="s">
        <v>35</v>
      </c>
      <c r="R41" s="40" t="s">
        <v>35</v>
      </c>
      <c r="S41" s="40" t="s">
        <v>35</v>
      </c>
      <c r="T41" s="40" t="s">
        <v>35</v>
      </c>
      <c r="U41" s="40" t="s">
        <v>35</v>
      </c>
      <c r="V41" s="40" t="s">
        <v>35</v>
      </c>
      <c r="W41" s="40" t="s">
        <v>35</v>
      </c>
      <c r="X41" s="40" t="s">
        <v>35</v>
      </c>
      <c r="Y41" s="40" t="s">
        <v>35</v>
      </c>
      <c r="Z41" s="40" t="s">
        <v>35</v>
      </c>
      <c r="AA41" s="40" t="s">
        <v>35</v>
      </c>
      <c r="AB41" s="40" t="s">
        <v>35</v>
      </c>
      <c r="AC41" s="40" t="s">
        <v>35</v>
      </c>
      <c r="AD41" s="40" t="s">
        <v>35</v>
      </c>
      <c r="AE41" s="40" t="s">
        <v>35</v>
      </c>
      <c r="AF41" s="40" t="s">
        <v>35</v>
      </c>
      <c r="AG41" s="40" t="s">
        <v>35</v>
      </c>
      <c r="AH41" s="40" t="s">
        <v>35</v>
      </c>
      <c r="AI41" s="40" t="s">
        <v>35</v>
      </c>
      <c r="AJ41" s="40" t="s">
        <v>35</v>
      </c>
      <c r="AK41" s="40" t="s">
        <v>35</v>
      </c>
    </row>
    <row r="42" spans="1:37" ht="17.25">
      <c r="A42" s="35" t="s">
        <v>24</v>
      </c>
      <c r="B42" s="36" t="s">
        <v>39</v>
      </c>
      <c r="C42" s="45" t="s">
        <v>35</v>
      </c>
      <c r="D42" s="45" t="s">
        <v>35</v>
      </c>
      <c r="E42" s="45" t="s">
        <v>35</v>
      </c>
      <c r="F42" s="45" t="s">
        <v>35</v>
      </c>
      <c r="G42" s="45" t="s">
        <v>35</v>
      </c>
      <c r="H42" s="45" t="s">
        <v>35</v>
      </c>
      <c r="I42" s="45" t="s">
        <v>35</v>
      </c>
      <c r="J42" s="45" t="s">
        <v>35</v>
      </c>
      <c r="K42" s="45" t="s">
        <v>35</v>
      </c>
      <c r="L42" s="45" t="s">
        <v>35</v>
      </c>
      <c r="M42" s="45" t="s">
        <v>35</v>
      </c>
      <c r="N42" s="45" t="s">
        <v>35</v>
      </c>
      <c r="O42" s="45" t="s">
        <v>35</v>
      </c>
      <c r="P42" s="45" t="s">
        <v>35</v>
      </c>
      <c r="Q42" s="45" t="s">
        <v>35</v>
      </c>
      <c r="R42" s="45" t="s">
        <v>35</v>
      </c>
      <c r="S42" s="45" t="s">
        <v>35</v>
      </c>
      <c r="T42" s="45" t="s">
        <v>35</v>
      </c>
      <c r="U42" s="45" t="s">
        <v>35</v>
      </c>
      <c r="V42" s="45" t="s">
        <v>35</v>
      </c>
      <c r="W42" s="45" t="s">
        <v>35</v>
      </c>
      <c r="X42" s="45" t="s">
        <v>35</v>
      </c>
      <c r="Y42" s="45" t="s">
        <v>35</v>
      </c>
      <c r="Z42" s="45" t="s">
        <v>35</v>
      </c>
      <c r="AA42" s="45" t="s">
        <v>35</v>
      </c>
      <c r="AB42" s="45" t="s">
        <v>35</v>
      </c>
      <c r="AC42" s="45" t="s">
        <v>35</v>
      </c>
      <c r="AD42" s="45" t="s">
        <v>35</v>
      </c>
      <c r="AE42" s="45" t="s">
        <v>35</v>
      </c>
      <c r="AF42" s="45" t="s">
        <v>35</v>
      </c>
      <c r="AG42" s="45" t="s">
        <v>35</v>
      </c>
      <c r="AH42" s="45" t="s">
        <v>35</v>
      </c>
      <c r="AI42" s="45" t="s">
        <v>35</v>
      </c>
      <c r="AJ42" s="45" t="s">
        <v>35</v>
      </c>
      <c r="AK42" s="45" t="s">
        <v>35</v>
      </c>
    </row>
    <row r="43" spans="1:37" ht="17.25">
      <c r="A43" s="9" t="s">
        <v>43</v>
      </c>
      <c r="B43" s="24" t="s">
        <v>39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1:37" s="132" customFormat="1" ht="17.25">
      <c r="A44" s="130" t="s">
        <v>210</v>
      </c>
      <c r="B44" s="131" t="s">
        <v>200</v>
      </c>
      <c r="C44" s="45" t="s">
        <v>35</v>
      </c>
      <c r="D44" s="45" t="s">
        <v>35</v>
      </c>
      <c r="E44" s="45" t="s">
        <v>35</v>
      </c>
      <c r="F44" s="45" t="s">
        <v>35</v>
      </c>
      <c r="G44" s="45" t="s">
        <v>35</v>
      </c>
      <c r="H44" s="45" t="s">
        <v>35</v>
      </c>
      <c r="I44" s="45" t="s">
        <v>35</v>
      </c>
      <c r="J44" s="45" t="s">
        <v>35</v>
      </c>
      <c r="K44" s="45" t="s">
        <v>35</v>
      </c>
      <c r="L44" s="45" t="s">
        <v>35</v>
      </c>
      <c r="M44" s="45" t="s">
        <v>35</v>
      </c>
      <c r="N44" s="45" t="s">
        <v>35</v>
      </c>
      <c r="O44" s="45" t="s">
        <v>35</v>
      </c>
      <c r="P44" s="45" t="s">
        <v>35</v>
      </c>
      <c r="Q44" s="45" t="s">
        <v>35</v>
      </c>
      <c r="R44" s="45" t="s">
        <v>35</v>
      </c>
      <c r="S44" s="45" t="s">
        <v>35</v>
      </c>
      <c r="T44" s="45" t="s">
        <v>35</v>
      </c>
      <c r="U44" s="45" t="s">
        <v>35</v>
      </c>
      <c r="V44" s="45" t="s">
        <v>35</v>
      </c>
      <c r="W44" s="45" t="s">
        <v>35</v>
      </c>
      <c r="X44" s="45" t="s">
        <v>35</v>
      </c>
      <c r="Y44" s="45" t="s">
        <v>35</v>
      </c>
      <c r="Z44" s="45" t="s">
        <v>35</v>
      </c>
      <c r="AA44" s="45" t="s">
        <v>35</v>
      </c>
      <c r="AB44" s="45" t="s">
        <v>35</v>
      </c>
      <c r="AC44" s="45" t="s">
        <v>35</v>
      </c>
      <c r="AD44" s="45" t="s">
        <v>35</v>
      </c>
      <c r="AE44" s="45" t="s">
        <v>35</v>
      </c>
      <c r="AF44" s="45" t="s">
        <v>35</v>
      </c>
      <c r="AG44" s="45" t="s">
        <v>35</v>
      </c>
      <c r="AH44" s="45" t="s">
        <v>35</v>
      </c>
      <c r="AI44" s="45" t="s">
        <v>35</v>
      </c>
      <c r="AJ44" s="45" t="s">
        <v>35</v>
      </c>
      <c r="AK44" s="45" t="s">
        <v>35</v>
      </c>
    </row>
    <row r="45" spans="1:37" ht="18" thickBot="1">
      <c r="A45" s="127" t="s">
        <v>211</v>
      </c>
      <c r="B45" s="119" t="s">
        <v>200</v>
      </c>
      <c r="C45" s="120" t="s">
        <v>35</v>
      </c>
      <c r="D45" s="120" t="s">
        <v>35</v>
      </c>
      <c r="E45" s="120" t="s">
        <v>35</v>
      </c>
      <c r="F45" s="120" t="s">
        <v>35</v>
      </c>
      <c r="G45" s="120" t="s">
        <v>35</v>
      </c>
      <c r="H45" s="120" t="s">
        <v>35</v>
      </c>
      <c r="I45" s="120" t="s">
        <v>35</v>
      </c>
      <c r="J45" s="120" t="s">
        <v>35</v>
      </c>
      <c r="K45" s="120" t="s">
        <v>35</v>
      </c>
      <c r="L45" s="120" t="s">
        <v>35</v>
      </c>
      <c r="M45" s="120" t="s">
        <v>35</v>
      </c>
      <c r="N45" s="120" t="s">
        <v>35</v>
      </c>
      <c r="O45" s="120" t="s">
        <v>35</v>
      </c>
      <c r="P45" s="120" t="s">
        <v>35</v>
      </c>
      <c r="Q45" s="120" t="s">
        <v>35</v>
      </c>
      <c r="R45" s="120" t="s">
        <v>35</v>
      </c>
      <c r="S45" s="120" t="s">
        <v>35</v>
      </c>
      <c r="T45" s="120" t="s">
        <v>35</v>
      </c>
      <c r="U45" s="120" t="s">
        <v>35</v>
      </c>
      <c r="V45" s="120" t="s">
        <v>35</v>
      </c>
      <c r="W45" s="120" t="s">
        <v>35</v>
      </c>
      <c r="X45" s="120" t="s">
        <v>35</v>
      </c>
      <c r="Y45" s="120" t="s">
        <v>35</v>
      </c>
      <c r="Z45" s="120" t="s">
        <v>35</v>
      </c>
      <c r="AA45" s="120" t="s">
        <v>35</v>
      </c>
      <c r="AB45" s="120" t="s">
        <v>35</v>
      </c>
      <c r="AC45" s="120" t="s">
        <v>35</v>
      </c>
      <c r="AD45" s="120" t="s">
        <v>35</v>
      </c>
      <c r="AE45" s="120" t="s">
        <v>35</v>
      </c>
      <c r="AF45" s="120" t="s">
        <v>35</v>
      </c>
      <c r="AG45" s="120" t="s">
        <v>35</v>
      </c>
      <c r="AH45" s="120" t="s">
        <v>35</v>
      </c>
      <c r="AI45" s="120" t="s">
        <v>35</v>
      </c>
      <c r="AJ45" s="120" t="s">
        <v>35</v>
      </c>
      <c r="AK45" s="120" t="s">
        <v>35</v>
      </c>
    </row>
    <row r="46" spans="1:7" ht="12.75">
      <c r="A46" s="6"/>
      <c r="B46" s="14"/>
      <c r="C46" s="41"/>
      <c r="D46" s="41"/>
      <c r="E46" s="41"/>
      <c r="F46" s="41"/>
      <c r="G46" s="41"/>
    </row>
    <row r="47" spans="2:7" ht="13.5" thickBot="1">
      <c r="B47" s="3"/>
      <c r="C47" s="43"/>
      <c r="D47" s="43"/>
      <c r="E47" s="43"/>
      <c r="F47" s="43"/>
      <c r="G47" s="43"/>
    </row>
    <row r="48" spans="1:37" ht="15.75">
      <c r="A48" s="8" t="s">
        <v>25</v>
      </c>
      <c r="B48" s="3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ht="12.75">
      <c r="A49" s="5"/>
      <c r="B49" s="16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1:37" ht="17.25">
      <c r="A50" s="9" t="s">
        <v>26</v>
      </c>
      <c r="B50" s="27" t="s">
        <v>39</v>
      </c>
      <c r="C50" s="40" t="s">
        <v>38</v>
      </c>
      <c r="D50" s="40" t="s">
        <v>38</v>
      </c>
      <c r="E50" s="40" t="s">
        <v>38</v>
      </c>
      <c r="F50" s="40" t="s">
        <v>38</v>
      </c>
      <c r="G50" s="40" t="s">
        <v>38</v>
      </c>
      <c r="H50" s="40" t="s">
        <v>38</v>
      </c>
      <c r="I50" s="40" t="s">
        <v>38</v>
      </c>
      <c r="J50" s="40" t="s">
        <v>38</v>
      </c>
      <c r="K50" s="40" t="s">
        <v>38</v>
      </c>
      <c r="L50" s="40" t="s">
        <v>38</v>
      </c>
      <c r="M50" s="40" t="s">
        <v>38</v>
      </c>
      <c r="N50" s="40" t="s">
        <v>38</v>
      </c>
      <c r="O50" s="40" t="s">
        <v>38</v>
      </c>
      <c r="P50" s="40" t="s">
        <v>38</v>
      </c>
      <c r="Q50" s="40" t="s">
        <v>38</v>
      </c>
      <c r="R50" s="40" t="s">
        <v>38</v>
      </c>
      <c r="S50" s="40" t="s">
        <v>38</v>
      </c>
      <c r="T50" s="40" t="s">
        <v>38</v>
      </c>
      <c r="U50" s="40" t="s">
        <v>38</v>
      </c>
      <c r="V50" s="40" t="s">
        <v>38</v>
      </c>
      <c r="W50" s="40" t="s">
        <v>38</v>
      </c>
      <c r="X50" s="40" t="s">
        <v>38</v>
      </c>
      <c r="Y50" s="40" t="s">
        <v>38</v>
      </c>
      <c r="Z50" s="40" t="s">
        <v>38</v>
      </c>
      <c r="AA50" s="40" t="s">
        <v>38</v>
      </c>
      <c r="AB50" s="40" t="s">
        <v>38</v>
      </c>
      <c r="AC50" s="40" t="s">
        <v>38</v>
      </c>
      <c r="AD50" s="40" t="s">
        <v>38</v>
      </c>
      <c r="AE50" s="40" t="s">
        <v>38</v>
      </c>
      <c r="AF50" s="40" t="s">
        <v>38</v>
      </c>
      <c r="AG50" s="40" t="s">
        <v>38</v>
      </c>
      <c r="AH50" s="40" t="s">
        <v>38</v>
      </c>
      <c r="AI50" s="40" t="s">
        <v>38</v>
      </c>
      <c r="AJ50" s="40" t="s">
        <v>38</v>
      </c>
      <c r="AK50" s="40" t="s">
        <v>38</v>
      </c>
    </row>
    <row r="51" spans="1:37" ht="17.25">
      <c r="A51" s="5" t="s">
        <v>76</v>
      </c>
      <c r="B51" s="107" t="s">
        <v>39</v>
      </c>
      <c r="C51" s="41" t="s">
        <v>38</v>
      </c>
      <c r="D51" s="41" t="s">
        <v>38</v>
      </c>
      <c r="E51" s="41" t="s">
        <v>38</v>
      </c>
      <c r="F51" s="41" t="s">
        <v>38</v>
      </c>
      <c r="G51" s="41" t="s">
        <v>38</v>
      </c>
      <c r="H51" s="41" t="s">
        <v>38</v>
      </c>
      <c r="I51" s="41" t="s">
        <v>38</v>
      </c>
      <c r="J51" s="41" t="s">
        <v>38</v>
      </c>
      <c r="K51" s="41" t="s">
        <v>38</v>
      </c>
      <c r="L51" s="41" t="s">
        <v>38</v>
      </c>
      <c r="M51" s="41" t="s">
        <v>38</v>
      </c>
      <c r="N51" s="41" t="s">
        <v>38</v>
      </c>
      <c r="O51" s="41" t="s">
        <v>38</v>
      </c>
      <c r="P51" s="41" t="s">
        <v>38</v>
      </c>
      <c r="Q51" s="41" t="s">
        <v>38</v>
      </c>
      <c r="R51" s="41" t="s">
        <v>38</v>
      </c>
      <c r="S51" s="41" t="s">
        <v>38</v>
      </c>
      <c r="T51" s="41" t="s">
        <v>38</v>
      </c>
      <c r="U51" s="41" t="s">
        <v>38</v>
      </c>
      <c r="V51" s="41" t="s">
        <v>38</v>
      </c>
      <c r="W51" s="41" t="s">
        <v>38</v>
      </c>
      <c r="X51" s="41" t="s">
        <v>38</v>
      </c>
      <c r="Y51" s="41" t="s">
        <v>38</v>
      </c>
      <c r="Z51" s="41" t="s">
        <v>38</v>
      </c>
      <c r="AA51" s="41" t="s">
        <v>38</v>
      </c>
      <c r="AB51" s="41" t="s">
        <v>38</v>
      </c>
      <c r="AC51" s="41" t="s">
        <v>38</v>
      </c>
      <c r="AD51" s="41" t="s">
        <v>38</v>
      </c>
      <c r="AE51" s="41" t="s">
        <v>38</v>
      </c>
      <c r="AF51" s="41" t="s">
        <v>38</v>
      </c>
      <c r="AG51" s="41" t="s">
        <v>38</v>
      </c>
      <c r="AH51" s="41" t="s">
        <v>38</v>
      </c>
      <c r="AI51" s="41" t="s">
        <v>38</v>
      </c>
      <c r="AJ51" s="41" t="s">
        <v>38</v>
      </c>
      <c r="AK51" s="41" t="s">
        <v>38</v>
      </c>
    </row>
    <row r="52" spans="1:37" ht="18" thickBot="1">
      <c r="A52" s="108" t="s">
        <v>142</v>
      </c>
      <c r="B52" s="115" t="s">
        <v>39</v>
      </c>
      <c r="C52" s="42" t="s">
        <v>195</v>
      </c>
      <c r="D52" s="42" t="s">
        <v>195</v>
      </c>
      <c r="E52" s="42" t="s">
        <v>195</v>
      </c>
      <c r="F52" s="42" t="s">
        <v>195</v>
      </c>
      <c r="G52" s="42" t="s">
        <v>195</v>
      </c>
      <c r="H52" s="42" t="s">
        <v>195</v>
      </c>
      <c r="I52" s="42" t="s">
        <v>195</v>
      </c>
      <c r="J52" s="42" t="s">
        <v>195</v>
      </c>
      <c r="K52" s="42" t="s">
        <v>195</v>
      </c>
      <c r="L52" s="42" t="s">
        <v>195</v>
      </c>
      <c r="M52" s="42" t="s">
        <v>195</v>
      </c>
      <c r="N52" s="42" t="s">
        <v>195</v>
      </c>
      <c r="O52" s="42" t="s">
        <v>195</v>
      </c>
      <c r="P52" s="42" t="s">
        <v>195</v>
      </c>
      <c r="Q52" s="42" t="s">
        <v>195</v>
      </c>
      <c r="R52" s="42" t="s">
        <v>195</v>
      </c>
      <c r="S52" s="42" t="s">
        <v>195</v>
      </c>
      <c r="T52" s="42" t="s">
        <v>195</v>
      </c>
      <c r="U52" s="42" t="s">
        <v>195</v>
      </c>
      <c r="V52" s="42" t="s">
        <v>195</v>
      </c>
      <c r="W52" s="42" t="s">
        <v>195</v>
      </c>
      <c r="X52" s="42" t="s">
        <v>195</v>
      </c>
      <c r="Y52" s="42" t="s">
        <v>195</v>
      </c>
      <c r="Z52" s="42" t="s">
        <v>195</v>
      </c>
      <c r="AA52" s="42" t="s">
        <v>195</v>
      </c>
      <c r="AB52" s="42" t="s">
        <v>195</v>
      </c>
      <c r="AC52" s="42" t="s">
        <v>195</v>
      </c>
      <c r="AD52" s="42" t="s">
        <v>195</v>
      </c>
      <c r="AE52" s="42" t="s">
        <v>195</v>
      </c>
      <c r="AF52" s="42" t="s">
        <v>195</v>
      </c>
      <c r="AG52" s="42" t="s">
        <v>195</v>
      </c>
      <c r="AH52" s="42" t="s">
        <v>195</v>
      </c>
      <c r="AI52" s="42" t="s">
        <v>195</v>
      </c>
      <c r="AJ52" s="42" t="s">
        <v>195</v>
      </c>
      <c r="AK52" s="42" t="s">
        <v>195</v>
      </c>
    </row>
    <row r="53" spans="1:37" ht="17.25">
      <c r="A53" s="6"/>
      <c r="B53" s="76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</row>
    <row r="55" spans="1:7" ht="17.25">
      <c r="A55" s="55" t="s">
        <v>42</v>
      </c>
      <c r="B55" s="56" t="s">
        <v>46</v>
      </c>
      <c r="C55" s="6"/>
      <c r="D55" s="6"/>
      <c r="E55" s="6"/>
      <c r="F55" s="6"/>
      <c r="G55" s="6"/>
    </row>
    <row r="56" spans="1:7" ht="17.25">
      <c r="A56" s="6"/>
      <c r="B56" s="56" t="s">
        <v>47</v>
      </c>
      <c r="C56" s="6"/>
      <c r="D56" s="6"/>
      <c r="E56" s="6"/>
      <c r="F56" s="6"/>
      <c r="G56" s="6"/>
    </row>
    <row r="57" spans="1:7" ht="17.25">
      <c r="A57" s="6"/>
      <c r="B57" s="56" t="s">
        <v>48</v>
      </c>
      <c r="C57" s="6"/>
      <c r="D57" s="6"/>
      <c r="E57" s="6"/>
      <c r="F57" s="6"/>
      <c r="G57" s="6"/>
    </row>
    <row r="58" ht="17.25">
      <c r="B58" s="56"/>
    </row>
    <row r="59" ht="17.25">
      <c r="B59" s="56" t="s">
        <v>49</v>
      </c>
    </row>
    <row r="60" ht="17.25">
      <c r="B60" s="56" t="s">
        <v>57</v>
      </c>
    </row>
    <row r="61" ht="17.25">
      <c r="B61" s="56" t="s">
        <v>58</v>
      </c>
    </row>
    <row r="62" ht="17.25">
      <c r="B62" s="56" t="s">
        <v>203</v>
      </c>
    </row>
  </sheetData>
  <sheetProtection/>
  <mergeCells count="1">
    <mergeCell ref="A1:B1"/>
  </mergeCells>
  <conditionalFormatting sqref="E6:AK7">
    <cfRule type="expression" priority="1" dxfId="0" stopIfTrue="1">
      <formula>"RECHERCHEV($B$1;C5:C31;1;FAUX)"</formula>
    </cfRule>
  </conditionalFormatting>
  <conditionalFormatting sqref="D6">
    <cfRule type="expression" priority="2" dxfId="1" stopIfTrue="1">
      <formula>IF(LEN($D6)&gt;0,TRUE,FALSE)</formula>
    </cfRule>
  </conditionalFormatting>
  <conditionalFormatting sqref="D7">
    <cfRule type="expression" priority="3" dxfId="0" stopIfTrue="1">
      <formula>IF(LEN($D7)&gt;0,VLOOKUP($B$8,D$11:D$12,1,FALSE),FALSE)</formula>
    </cfRule>
  </conditionalFormatting>
  <conditionalFormatting sqref="H23:AK25 C51:AK53 H48:AK50 D8:AK8 H28:AK29 D46:G50 H9:AK20 D9:G29 D30:AK45 C8:C50">
    <cfRule type="expression" priority="4" dxfId="2" stopIfTrue="1">
      <formula>AND($C8="NON",C$16="NON")</formula>
    </cfRule>
    <cfRule type="expression" priority="5" dxfId="1" stopIfTrue="1">
      <formula>AND($A8="NON",C$14="NON",$A$5="CONSTRUCTEUR")</formula>
    </cfRule>
  </conditionalFormatting>
  <conditionalFormatting sqref="C6:C7">
    <cfRule type="expression" priority="6" dxfId="0" stopIfTrue="1">
      <formula>IF(LEN($C65502)&gt;0,VLOOKUP($B$8,C$5:C$5,1,FALSE),FALSE)</formula>
    </cfRule>
  </conditionalFormatting>
  <dataValidations count="1">
    <dataValidation type="list" allowBlank="1" showDropDown="1" showErrorMessage="1" errorTitle="Cellule protégée" error="Cellules utilisées dans les formules" sqref="A5:AK5">
      <formula1>"VRAI"</formula1>
    </dataValidation>
  </dataValidations>
  <hyperlinks>
    <hyperlink ref="A1" location="'Tableau entretien DL'!A1" tooltip="tableau Entretien DL" display="Retour au tableau Entretien DL"/>
  </hyperlink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9">
      <selection activeCell="D103" sqref="D103"/>
    </sheetView>
  </sheetViews>
  <sheetFormatPr defaultColWidth="11.421875" defaultRowHeight="12.75"/>
  <cols>
    <col min="1" max="1" width="2.00390625" style="0" customWidth="1"/>
    <col min="3" max="3" width="32.421875" style="0" bestFit="1" customWidth="1"/>
    <col min="4" max="4" width="6.8515625" style="0" bestFit="1" customWidth="1"/>
    <col min="5" max="5" width="20.421875" style="0" customWidth="1"/>
    <col min="6" max="6" width="24.00390625" style="0" customWidth="1"/>
    <col min="7" max="7" width="30.28125" style="0" customWidth="1"/>
    <col min="8" max="8" width="37.28125" style="0" bestFit="1" customWidth="1"/>
    <col min="9" max="9" width="2.140625" style="0" customWidth="1"/>
  </cols>
  <sheetData>
    <row r="1" spans="1:9" ht="13.5" customHeight="1">
      <c r="A1" s="92"/>
      <c r="B1" s="194" t="s">
        <v>247</v>
      </c>
      <c r="C1" s="92"/>
      <c r="D1" s="92"/>
      <c r="E1" s="92"/>
      <c r="F1" s="92"/>
      <c r="G1" s="92"/>
      <c r="H1" s="92"/>
      <c r="I1" s="92"/>
    </row>
    <row r="2" spans="1:9" ht="12.75">
      <c r="A2" s="92"/>
      <c r="B2" s="246" t="s">
        <v>129</v>
      </c>
      <c r="C2" s="246"/>
      <c r="D2" s="246"/>
      <c r="E2" s="246"/>
      <c r="F2" s="246" t="s">
        <v>130</v>
      </c>
      <c r="G2" s="246"/>
      <c r="H2" s="92"/>
      <c r="I2" s="92"/>
    </row>
    <row r="3" spans="1:9" ht="12.75">
      <c r="A3" s="92"/>
      <c r="B3" s="92" t="s">
        <v>166</v>
      </c>
      <c r="C3" s="92"/>
      <c r="D3" s="92"/>
      <c r="E3" s="92"/>
      <c r="F3" s="101"/>
      <c r="G3" s="102"/>
      <c r="H3" s="92"/>
      <c r="I3" s="92"/>
    </row>
    <row r="4" spans="1:9" ht="12.75">
      <c r="A4" s="92"/>
      <c r="B4" s="93" t="s">
        <v>66</v>
      </c>
      <c r="C4" s="93" t="s">
        <v>65</v>
      </c>
      <c r="D4" s="99" t="s">
        <v>63</v>
      </c>
      <c r="E4" s="99" t="s">
        <v>157</v>
      </c>
      <c r="F4" s="103" t="s">
        <v>131</v>
      </c>
      <c r="G4" s="104" t="s">
        <v>132</v>
      </c>
      <c r="H4" s="105" t="s">
        <v>167</v>
      </c>
      <c r="I4" s="92"/>
    </row>
    <row r="5" spans="1:9" ht="12.75">
      <c r="A5" s="92"/>
      <c r="B5" s="94" t="s">
        <v>1</v>
      </c>
      <c r="C5" s="94" t="s">
        <v>20</v>
      </c>
      <c r="D5" s="100" t="str">
        <f>CONCATENATE("*",AM_Liste_Déroulante,"*")</f>
        <v>*2004*</v>
      </c>
      <c r="E5" s="100" t="str">
        <f>IF(DGET(Tableau_Entretien,KM,C4:C5)="","",CONCATENATE("*",DGET(Tableau_Entretien,KM,C4:C5),"*"))</f>
        <v>*I*</v>
      </c>
      <c r="F5" s="101" t="s">
        <v>77</v>
      </c>
      <c r="G5" s="102" t="s">
        <v>105</v>
      </c>
      <c r="H5" s="102" t="s">
        <v>168</v>
      </c>
      <c r="I5" s="92"/>
    </row>
    <row r="6" spans="1:9" ht="12.75">
      <c r="A6" s="92"/>
      <c r="B6" s="94"/>
      <c r="C6" s="94"/>
      <c r="D6" s="100"/>
      <c r="E6" s="100"/>
      <c r="F6" s="101"/>
      <c r="G6" s="102"/>
      <c r="H6" s="102"/>
      <c r="I6" s="92"/>
    </row>
    <row r="7" spans="1:9" ht="12.75">
      <c r="A7" s="92"/>
      <c r="B7" s="93" t="s">
        <v>66</v>
      </c>
      <c r="C7" s="93" t="s">
        <v>65</v>
      </c>
      <c r="D7" s="94" t="s">
        <v>63</v>
      </c>
      <c r="E7" s="99" t="s">
        <v>157</v>
      </c>
      <c r="F7" s="101"/>
      <c r="G7" s="102"/>
      <c r="H7" s="102"/>
      <c r="I7" s="92"/>
    </row>
    <row r="8" spans="1:9" ht="12.75">
      <c r="A8" s="92"/>
      <c r="B8" s="94" t="s">
        <v>1</v>
      </c>
      <c r="C8" s="94" t="s">
        <v>2</v>
      </c>
      <c r="D8" s="100" t="str">
        <f>CONCATENATE("*",AM_Liste_Déroulante,"*")</f>
        <v>*2004*</v>
      </c>
      <c r="E8" s="100" t="str">
        <f>IF(DGET(Tableau_Entretien,KM,C7:C8)="","",CONCATENATE("*",DGET(Tableau_Entretien,KM,C7:C8),"*"))</f>
        <v>*R*</v>
      </c>
      <c r="F8" s="101" t="s">
        <v>78</v>
      </c>
      <c r="G8" s="102" t="s">
        <v>106</v>
      </c>
      <c r="H8" s="102" t="s">
        <v>169</v>
      </c>
      <c r="I8" s="92"/>
    </row>
    <row r="9" spans="1:9" ht="12.75">
      <c r="A9" s="92"/>
      <c r="B9" s="94"/>
      <c r="C9" s="94"/>
      <c r="D9" s="100"/>
      <c r="E9" s="100"/>
      <c r="F9" s="101"/>
      <c r="G9" s="102"/>
      <c r="H9" s="102"/>
      <c r="I9" s="92"/>
    </row>
    <row r="10" spans="1:9" ht="12.75">
      <c r="A10" s="92"/>
      <c r="B10" s="93" t="s">
        <v>66</v>
      </c>
      <c r="C10" s="93" t="s">
        <v>65</v>
      </c>
      <c r="D10" s="94" t="s">
        <v>63</v>
      </c>
      <c r="E10" s="99" t="s">
        <v>157</v>
      </c>
      <c r="F10" s="101"/>
      <c r="G10" s="102"/>
      <c r="H10" s="102"/>
      <c r="I10" s="92"/>
    </row>
    <row r="11" spans="1:9" ht="12.75">
      <c r="A11" s="92"/>
      <c r="B11" s="94" t="s">
        <v>1</v>
      </c>
      <c r="C11" s="94" t="s">
        <v>3</v>
      </c>
      <c r="D11" s="100" t="str">
        <f>CONCATENATE("*",AM_Liste_Déroulante,"*")</f>
        <v>*2004*</v>
      </c>
      <c r="E11" s="100">
        <f>IF(DGET(Tableau_Entretien,KM,C10:C11)="","",CONCATENATE("*",DGET(Tableau_Entretien,KM,C10:C11),"*"))</f>
      </c>
      <c r="F11" s="101" t="s">
        <v>79</v>
      </c>
      <c r="G11" s="102" t="s">
        <v>107</v>
      </c>
      <c r="H11" s="102" t="s">
        <v>170</v>
      </c>
      <c r="I11" s="92"/>
    </row>
    <row r="12" spans="1:9" ht="12.75">
      <c r="A12" s="92"/>
      <c r="B12" s="94"/>
      <c r="C12" s="94"/>
      <c r="D12" s="100"/>
      <c r="E12" s="100"/>
      <c r="F12" s="101"/>
      <c r="G12" s="102"/>
      <c r="H12" s="102"/>
      <c r="I12" s="92"/>
    </row>
    <row r="13" spans="1:9" ht="12.75">
      <c r="A13" s="92"/>
      <c r="B13" s="93" t="s">
        <v>66</v>
      </c>
      <c r="C13" s="93" t="s">
        <v>65</v>
      </c>
      <c r="D13" s="94" t="s">
        <v>63</v>
      </c>
      <c r="E13" s="99" t="s">
        <v>157</v>
      </c>
      <c r="F13" s="101"/>
      <c r="G13" s="102"/>
      <c r="H13" s="102"/>
      <c r="I13" s="92"/>
    </row>
    <row r="14" spans="1:9" ht="12.75">
      <c r="A14" s="92"/>
      <c r="B14" s="94" t="s">
        <v>1</v>
      </c>
      <c r="C14" s="94" t="s">
        <v>19</v>
      </c>
      <c r="D14" s="100" t="str">
        <f>CONCATENATE("*",AM_Liste_Déroulante,"*")</f>
        <v>*2004*</v>
      </c>
      <c r="E14" s="100" t="str">
        <f>IF(DGET(Tableau_Entretien,KM,C13:C14)="","",CONCATENATE("*",DGET(Tableau_Entretien,KM,C13:C14),"*"))</f>
        <v>*I*</v>
      </c>
      <c r="F14" s="101" t="s">
        <v>80</v>
      </c>
      <c r="G14" s="102" t="s">
        <v>108</v>
      </c>
      <c r="H14" s="102" t="s">
        <v>171</v>
      </c>
      <c r="I14" s="92"/>
    </row>
    <row r="15" spans="1:9" ht="12.75">
      <c r="A15" s="92"/>
      <c r="B15" s="94"/>
      <c r="C15" s="94"/>
      <c r="D15" s="100"/>
      <c r="E15" s="100"/>
      <c r="F15" s="101"/>
      <c r="G15" s="102"/>
      <c r="H15" s="102"/>
      <c r="I15" s="92"/>
    </row>
    <row r="16" spans="1:9" ht="12.75">
      <c r="A16" s="92"/>
      <c r="B16" s="93" t="s">
        <v>66</v>
      </c>
      <c r="C16" s="93" t="s">
        <v>65</v>
      </c>
      <c r="D16" s="94" t="s">
        <v>63</v>
      </c>
      <c r="E16" s="99" t="s">
        <v>157</v>
      </c>
      <c r="F16" s="101"/>
      <c r="G16" s="102"/>
      <c r="H16" s="102"/>
      <c r="I16" s="92"/>
    </row>
    <row r="17" spans="1:9" ht="12.75">
      <c r="A17" s="92"/>
      <c r="B17" s="94" t="s">
        <v>1</v>
      </c>
      <c r="C17" s="94" t="s">
        <v>4</v>
      </c>
      <c r="D17" s="100" t="str">
        <f>CONCATENATE("*",AM_Liste_Déroulante,"*")</f>
        <v>*2004*</v>
      </c>
      <c r="E17" s="100" t="str">
        <f>IF(DGET(Tableau_Entretien,KM,C16:C17)="","",CONCATENATE("*",DGET(Tableau_Entretien,KM,C16:C17),"*"))</f>
        <v>*I*</v>
      </c>
      <c r="F17" s="101" t="s">
        <v>81</v>
      </c>
      <c r="G17" s="102" t="s">
        <v>109</v>
      </c>
      <c r="H17" s="102" t="s">
        <v>172</v>
      </c>
      <c r="I17" s="92"/>
    </row>
    <row r="18" spans="1:9" ht="12.75">
      <c r="A18" s="92"/>
      <c r="B18" s="94"/>
      <c r="C18" s="94"/>
      <c r="D18" s="100"/>
      <c r="E18" s="100"/>
      <c r="F18" s="101"/>
      <c r="G18" s="102"/>
      <c r="H18" s="102"/>
      <c r="I18" s="92"/>
    </row>
    <row r="19" spans="1:9" ht="12.75">
      <c r="A19" s="92"/>
      <c r="B19" s="93" t="s">
        <v>66</v>
      </c>
      <c r="C19" s="93" t="s">
        <v>65</v>
      </c>
      <c r="D19" s="94" t="s">
        <v>63</v>
      </c>
      <c r="E19" s="99" t="s">
        <v>157</v>
      </c>
      <c r="F19" s="101"/>
      <c r="G19" s="102"/>
      <c r="H19" s="102"/>
      <c r="I19" s="92"/>
    </row>
    <row r="20" spans="1:9" ht="12.75">
      <c r="A20" s="92"/>
      <c r="B20" s="94" t="s">
        <v>1</v>
      </c>
      <c r="C20" s="94" t="s">
        <v>5</v>
      </c>
      <c r="D20" s="100" t="str">
        <f>CONCATENATE("*",AM_Liste_Déroulante,"*")</f>
        <v>*2004*</v>
      </c>
      <c r="E20" s="100" t="str">
        <f>IF(DGET(Tableau_Entretien,KM,C19:C20)="","",CONCATENATE("*",DGET(Tableau_Entretien,KM,C19:C20),"*"))</f>
        <v>*I*</v>
      </c>
      <c r="F20" s="101" t="s">
        <v>82</v>
      </c>
      <c r="G20" s="102" t="s">
        <v>110</v>
      </c>
      <c r="H20" s="102" t="s">
        <v>173</v>
      </c>
      <c r="I20" s="92"/>
    </row>
    <row r="21" spans="1:9" ht="12.75">
      <c r="A21" s="92"/>
      <c r="B21" s="94"/>
      <c r="C21" s="94"/>
      <c r="D21" s="100"/>
      <c r="E21" s="100"/>
      <c r="F21" s="101"/>
      <c r="G21" s="102"/>
      <c r="H21" s="102"/>
      <c r="I21" s="92"/>
    </row>
    <row r="22" spans="1:9" ht="12.75">
      <c r="A22" s="92"/>
      <c r="B22" s="93" t="s">
        <v>66</v>
      </c>
      <c r="C22" s="93" t="s">
        <v>65</v>
      </c>
      <c r="D22" s="94" t="s">
        <v>63</v>
      </c>
      <c r="E22" s="99" t="s">
        <v>157</v>
      </c>
      <c r="F22" s="101"/>
      <c r="G22" s="102"/>
      <c r="H22" s="102"/>
      <c r="I22" s="92"/>
    </row>
    <row r="23" spans="1:9" ht="12.75">
      <c r="A23" s="92"/>
      <c r="B23" s="94" t="s">
        <v>1</v>
      </c>
      <c r="C23" s="94" t="s">
        <v>6</v>
      </c>
      <c r="D23" s="100" t="str">
        <f>CONCATENATE("*",AM_Liste_Déroulante,"*")</f>
        <v>*2004*</v>
      </c>
      <c r="E23" s="100" t="str">
        <f>IF(DGET(Tableau_Entretien,KM,C22:C23)="","",CONCATENATE("*",DGET(Tableau_Entretien,KM,C22:C23),"*"))</f>
        <v>*I*</v>
      </c>
      <c r="F23" s="101" t="s">
        <v>83</v>
      </c>
      <c r="G23" s="102" t="s">
        <v>111</v>
      </c>
      <c r="H23" s="102" t="s">
        <v>174</v>
      </c>
      <c r="I23" s="92"/>
    </row>
    <row r="24" spans="1:9" ht="12.75">
      <c r="A24" s="92"/>
      <c r="B24" s="94"/>
      <c r="C24" s="94"/>
      <c r="D24" s="100"/>
      <c r="E24" s="100"/>
      <c r="F24" s="101"/>
      <c r="G24" s="102"/>
      <c r="H24" s="102"/>
      <c r="I24" s="92"/>
    </row>
    <row r="25" spans="1:9" ht="12.75">
      <c r="A25" s="92"/>
      <c r="B25" s="93" t="s">
        <v>66</v>
      </c>
      <c r="C25" s="93" t="s">
        <v>65</v>
      </c>
      <c r="D25" s="94" t="s">
        <v>63</v>
      </c>
      <c r="E25" s="99" t="s">
        <v>157</v>
      </c>
      <c r="F25" s="101"/>
      <c r="G25" s="102"/>
      <c r="H25" s="102"/>
      <c r="I25" s="92"/>
    </row>
    <row r="26" spans="1:9" ht="12.75">
      <c r="A26" s="92"/>
      <c r="B26" s="94" t="s">
        <v>1</v>
      </c>
      <c r="C26" s="94" t="s">
        <v>7</v>
      </c>
      <c r="D26" s="100" t="str">
        <f>CONCATENATE("*",AM_Liste_Déroulante,"*")</f>
        <v>*2004*</v>
      </c>
      <c r="E26" s="100" t="str">
        <f>IF(DGET(Tableau_Entretien,KM,C25:C26)="","",CONCATENATE("*",DGET(Tableau_Entretien,KM,C25:C26),"*"))</f>
        <v>*I*</v>
      </c>
      <c r="F26" s="101" t="s">
        <v>84</v>
      </c>
      <c r="G26" s="102" t="s">
        <v>112</v>
      </c>
      <c r="H26" s="102" t="s">
        <v>175</v>
      </c>
      <c r="I26" s="92"/>
    </row>
    <row r="27" spans="1:9" ht="12.75">
      <c r="A27" s="92"/>
      <c r="B27" s="94"/>
      <c r="C27" s="94"/>
      <c r="D27" s="100"/>
      <c r="E27" s="100"/>
      <c r="F27" s="101"/>
      <c r="G27" s="102"/>
      <c r="H27" s="102"/>
      <c r="I27" s="92"/>
    </row>
    <row r="28" spans="1:9" ht="12.75">
      <c r="A28" s="92"/>
      <c r="B28" s="93" t="s">
        <v>66</v>
      </c>
      <c r="C28" s="93" t="s">
        <v>65</v>
      </c>
      <c r="D28" s="94" t="s">
        <v>63</v>
      </c>
      <c r="E28" s="99" t="s">
        <v>157</v>
      </c>
      <c r="F28" s="101"/>
      <c r="G28" s="102"/>
      <c r="H28" s="102"/>
      <c r="I28" s="92"/>
    </row>
    <row r="29" spans="1:9" ht="12.75">
      <c r="A29" s="92"/>
      <c r="B29" s="94" t="s">
        <v>1</v>
      </c>
      <c r="C29" s="94" t="s">
        <v>8</v>
      </c>
      <c r="D29" s="100" t="str">
        <f>CONCATENATE("*",AM_Liste_Déroulante,"*")</f>
        <v>*2004*</v>
      </c>
      <c r="E29" s="100" t="str">
        <f>IF(DGET(Tableau_Entretien,KM,C28:C29)="","",CONCATENATE("*",DGET(Tableau_Entretien,KM,C28:C29),"*"))</f>
        <v>*R*</v>
      </c>
      <c r="F29" s="101" t="s">
        <v>8</v>
      </c>
      <c r="G29" s="102" t="s">
        <v>113</v>
      </c>
      <c r="H29" s="102" t="s">
        <v>176</v>
      </c>
      <c r="I29" s="92"/>
    </row>
    <row r="30" spans="1:9" ht="12.75">
      <c r="A30" s="92"/>
      <c r="B30" s="94"/>
      <c r="C30" s="94"/>
      <c r="D30" s="100"/>
      <c r="E30" s="100"/>
      <c r="F30" s="101"/>
      <c r="G30" s="102"/>
      <c r="H30" s="102"/>
      <c r="I30" s="92"/>
    </row>
    <row r="31" spans="1:9" ht="12.75">
      <c r="A31" s="92"/>
      <c r="B31" s="93" t="s">
        <v>66</v>
      </c>
      <c r="C31" s="93" t="s">
        <v>65</v>
      </c>
      <c r="D31" s="94" t="s">
        <v>63</v>
      </c>
      <c r="E31" s="99" t="s">
        <v>157</v>
      </c>
      <c r="F31" s="101"/>
      <c r="G31" s="102"/>
      <c r="H31" s="102"/>
      <c r="I31" s="92"/>
    </row>
    <row r="32" spans="1:9" ht="12.75">
      <c r="A32" s="92"/>
      <c r="B32" s="94" t="s">
        <v>1</v>
      </c>
      <c r="C32" s="94" t="s">
        <v>21</v>
      </c>
      <c r="D32" s="100" t="str">
        <f>CONCATENATE("*",AM_Liste_Déroulante,"*")</f>
        <v>*2004*</v>
      </c>
      <c r="E32" s="100">
        <f>IF(DGET(Tableau_Entretien,KM,C31:C32)="","",CONCATENATE("*",DGET(Tableau_Entretien,KM,C31:C32),"*"))</f>
      </c>
      <c r="F32" s="101" t="s">
        <v>85</v>
      </c>
      <c r="G32" s="102" t="s">
        <v>114</v>
      </c>
      <c r="H32" s="102" t="s">
        <v>177</v>
      </c>
      <c r="I32" s="92"/>
    </row>
    <row r="33" spans="1:9" ht="12.75">
      <c r="A33" s="92"/>
      <c r="B33" s="94"/>
      <c r="C33" s="94"/>
      <c r="D33" s="100"/>
      <c r="E33" s="100"/>
      <c r="F33" s="101"/>
      <c r="G33" s="102"/>
      <c r="H33" s="102"/>
      <c r="I33" s="92"/>
    </row>
    <row r="34" spans="1:9" ht="12.75">
      <c r="A34" s="92"/>
      <c r="B34" s="93" t="s">
        <v>66</v>
      </c>
      <c r="C34" s="93" t="s">
        <v>65</v>
      </c>
      <c r="D34" s="94" t="s">
        <v>63</v>
      </c>
      <c r="E34" s="99" t="s">
        <v>157</v>
      </c>
      <c r="F34" s="101"/>
      <c r="G34" s="102"/>
      <c r="H34" s="102"/>
      <c r="I34" s="92"/>
    </row>
    <row r="35" spans="1:9" ht="12.75">
      <c r="A35" s="92"/>
      <c r="B35" s="94" t="s">
        <v>1</v>
      </c>
      <c r="C35" s="94" t="s">
        <v>9</v>
      </c>
      <c r="D35" s="100" t="str">
        <f>CONCATENATE("*",AM_Liste_Déroulante,"*")</f>
        <v>*2004*</v>
      </c>
      <c r="E35" s="100" t="str">
        <f>IF(DGET(Tableau_Entretien,KM,C34:C35)="","",CONCATENATE("*",DGET(Tableau_Entretien,KM,C34:C35),"*"))</f>
        <v>*I*</v>
      </c>
      <c r="F35" s="101" t="s">
        <v>86</v>
      </c>
      <c r="G35" s="102" t="s">
        <v>115</v>
      </c>
      <c r="H35" s="102" t="s">
        <v>178</v>
      </c>
      <c r="I35" s="92"/>
    </row>
    <row r="36" spans="1:9" ht="12.75">
      <c r="A36" s="92"/>
      <c r="B36" s="94"/>
      <c r="C36" s="94"/>
      <c r="D36" s="100"/>
      <c r="E36" s="100"/>
      <c r="F36" s="101"/>
      <c r="G36" s="102"/>
      <c r="H36" s="102"/>
      <c r="I36" s="92"/>
    </row>
    <row r="37" spans="1:9" ht="12.75">
      <c r="A37" s="92"/>
      <c r="B37" s="93" t="s">
        <v>66</v>
      </c>
      <c r="C37" s="93" t="s">
        <v>65</v>
      </c>
      <c r="D37" s="94" t="s">
        <v>63</v>
      </c>
      <c r="E37" s="99" t="s">
        <v>157</v>
      </c>
      <c r="F37" s="101"/>
      <c r="G37" s="102"/>
      <c r="H37" s="102"/>
      <c r="I37" s="92"/>
    </row>
    <row r="38" spans="1:9" ht="12.75">
      <c r="A38" s="92"/>
      <c r="B38" s="94" t="s">
        <v>1</v>
      </c>
      <c r="C38" s="94" t="s">
        <v>10</v>
      </c>
      <c r="D38" s="100" t="str">
        <f>CONCATENATE("*",AM_Liste_Déroulante,"*")</f>
        <v>*2004*</v>
      </c>
      <c r="E38" s="100">
        <f>IF(DGET(Tableau_Entretien,KM,C37:C38)="","",CONCATENATE("*",DGET(Tableau_Entretien,KM,C37:C38),"*"))</f>
      </c>
      <c r="F38" s="101" t="s">
        <v>87</v>
      </c>
      <c r="G38" s="102" t="s">
        <v>116</v>
      </c>
      <c r="H38" s="102" t="s">
        <v>179</v>
      </c>
      <c r="I38" s="92"/>
    </row>
    <row r="39" spans="1:9" ht="12.75">
      <c r="A39" s="92"/>
      <c r="B39" s="94"/>
      <c r="C39" s="94"/>
      <c r="D39" s="100"/>
      <c r="E39" s="100"/>
      <c r="F39" s="101"/>
      <c r="G39" s="102"/>
      <c r="H39" s="102"/>
      <c r="I39" s="92"/>
    </row>
    <row r="40" spans="1:9" ht="12.75">
      <c r="A40" s="92"/>
      <c r="B40" s="93" t="s">
        <v>66</v>
      </c>
      <c r="C40" s="93" t="s">
        <v>65</v>
      </c>
      <c r="D40" s="94" t="s">
        <v>63</v>
      </c>
      <c r="E40" s="99" t="s">
        <v>157</v>
      </c>
      <c r="F40" s="101"/>
      <c r="G40" s="102"/>
      <c r="H40" s="102"/>
      <c r="I40" s="92"/>
    </row>
    <row r="41" spans="1:9" ht="12.75">
      <c r="A41" s="92"/>
      <c r="B41" s="94" t="s">
        <v>1</v>
      </c>
      <c r="C41" s="94" t="s">
        <v>11</v>
      </c>
      <c r="D41" s="100" t="str">
        <f>CONCATENATE("*",AM_Liste_Déroulante,"*")</f>
        <v>*2004*</v>
      </c>
      <c r="E41" s="100" t="str">
        <f>IF(DGET(Tableau_Entretien,KM,C40:C41)="","",CONCATENATE("*",DGET(Tableau_Entretien,KM,C40:C41),"*"))</f>
        <v>*I*</v>
      </c>
      <c r="F41" s="101" t="s">
        <v>88</v>
      </c>
      <c r="G41" s="102" t="s">
        <v>117</v>
      </c>
      <c r="H41" s="102" t="s">
        <v>180</v>
      </c>
      <c r="I41" s="92"/>
    </row>
    <row r="42" spans="1:9" ht="12.75">
      <c r="A42" s="92"/>
      <c r="B42" s="94"/>
      <c r="C42" s="94"/>
      <c r="D42" s="100"/>
      <c r="E42" s="100"/>
      <c r="F42" s="101"/>
      <c r="G42" s="102"/>
      <c r="H42" s="102"/>
      <c r="I42" s="92"/>
    </row>
    <row r="43" spans="1:9" ht="12.75">
      <c r="A43" s="92"/>
      <c r="B43" s="93" t="s">
        <v>66</v>
      </c>
      <c r="C43" s="93" t="s">
        <v>65</v>
      </c>
      <c r="D43" s="94" t="s">
        <v>63</v>
      </c>
      <c r="E43" s="99" t="s">
        <v>157</v>
      </c>
      <c r="F43" s="101"/>
      <c r="G43" s="102"/>
      <c r="H43" s="102"/>
      <c r="I43" s="92"/>
    </row>
    <row r="44" spans="1:9" ht="12.75">
      <c r="A44" s="92"/>
      <c r="B44" s="94" t="s">
        <v>12</v>
      </c>
      <c r="C44" s="94" t="s">
        <v>13</v>
      </c>
      <c r="D44" s="100" t="str">
        <f>CONCATENATE("*",AM_Liste_Déroulante,"*")</f>
        <v>*2004*</v>
      </c>
      <c r="E44" s="100">
        <f>IF(DGET(Tableau_Entretien,KM,C43:C44)="","",CONCATENATE("*",DGET(Tableau_Entretien,KM,C43:C44),"*"))</f>
      </c>
      <c r="F44" s="101" t="s">
        <v>89</v>
      </c>
      <c r="G44" s="102" t="s">
        <v>118</v>
      </c>
      <c r="H44" s="102" t="s">
        <v>181</v>
      </c>
      <c r="I44" s="92"/>
    </row>
    <row r="45" spans="1:9" ht="12.75">
      <c r="A45" s="92"/>
      <c r="B45" s="94"/>
      <c r="C45" s="94"/>
      <c r="D45" s="100"/>
      <c r="E45" s="100"/>
      <c r="F45" s="101"/>
      <c r="G45" s="102"/>
      <c r="H45" s="102"/>
      <c r="I45" s="92"/>
    </row>
    <row r="46" spans="1:9" ht="12.75">
      <c r="A46" s="92"/>
      <c r="B46" s="93" t="s">
        <v>66</v>
      </c>
      <c r="C46" s="93" t="s">
        <v>65</v>
      </c>
      <c r="D46" s="94" t="s">
        <v>63</v>
      </c>
      <c r="E46" s="99" t="s">
        <v>157</v>
      </c>
      <c r="F46" s="101"/>
      <c r="G46" s="102"/>
      <c r="H46" s="102"/>
      <c r="I46" s="92"/>
    </row>
    <row r="47" spans="1:9" ht="12.75">
      <c r="A47" s="92"/>
      <c r="B47" s="94" t="s">
        <v>14</v>
      </c>
      <c r="C47" s="94" t="s">
        <v>15</v>
      </c>
      <c r="D47" s="100" t="str">
        <f>CONCATENATE("*",AM_Liste_Déroulante,"*")</f>
        <v>*2004*</v>
      </c>
      <c r="E47" s="100" t="str">
        <f>IF(DGET(Tableau_Entretien,KM,C46:C47)="","",CONCATENATE("*",DGET(Tableau_Entretien,KM,C46:C47),"*"))</f>
        <v>*I*</v>
      </c>
      <c r="F47" s="101" t="s">
        <v>90</v>
      </c>
      <c r="G47" s="102" t="s">
        <v>119</v>
      </c>
      <c r="H47" s="102" t="s">
        <v>182</v>
      </c>
      <c r="I47" s="92"/>
    </row>
    <row r="48" spans="1:9" ht="12.75">
      <c r="A48" s="92"/>
      <c r="B48" s="94"/>
      <c r="C48" s="94"/>
      <c r="D48" s="100"/>
      <c r="E48" s="100"/>
      <c r="F48" s="101"/>
      <c r="G48" s="102"/>
      <c r="H48" s="102"/>
      <c r="I48" s="92"/>
    </row>
    <row r="49" spans="1:9" ht="12.75">
      <c r="A49" s="92"/>
      <c r="B49" s="93" t="s">
        <v>66</v>
      </c>
      <c r="C49" s="93" t="s">
        <v>65</v>
      </c>
      <c r="D49" s="94" t="s">
        <v>63</v>
      </c>
      <c r="E49" s="99" t="s">
        <v>157</v>
      </c>
      <c r="F49" s="101"/>
      <c r="G49" s="102"/>
      <c r="H49" s="102"/>
      <c r="I49" s="92"/>
    </row>
    <row r="50" spans="1:9" ht="12.75">
      <c r="A50" s="92"/>
      <c r="B50" s="94" t="s">
        <v>14</v>
      </c>
      <c r="C50" s="94" t="s">
        <v>16</v>
      </c>
      <c r="D50" s="100" t="str">
        <f>CONCATENATE("*",AM_Liste_Déroulante,"*")</f>
        <v>*2004*</v>
      </c>
      <c r="E50" s="100">
        <f>IF(DGET(Tableau_Entretien,KM,C49:C50)="","",CONCATENATE("*",DGET(Tableau_Entretien,KM,C49:C50),"*"))</f>
      </c>
      <c r="F50" s="101" t="s">
        <v>91</v>
      </c>
      <c r="G50" s="102" t="s">
        <v>120</v>
      </c>
      <c r="H50" s="102" t="s">
        <v>183</v>
      </c>
      <c r="I50" s="92"/>
    </row>
    <row r="51" spans="1:9" ht="12.75">
      <c r="A51" s="92"/>
      <c r="B51" s="94"/>
      <c r="C51" s="94"/>
      <c r="D51" s="100"/>
      <c r="E51" s="100"/>
      <c r="F51" s="101"/>
      <c r="G51" s="102"/>
      <c r="H51" s="102"/>
      <c r="I51" s="92"/>
    </row>
    <row r="52" spans="1:9" ht="12.75">
      <c r="A52" s="92"/>
      <c r="B52" s="93" t="s">
        <v>66</v>
      </c>
      <c r="C52" s="93" t="s">
        <v>65</v>
      </c>
      <c r="D52" s="94" t="s">
        <v>63</v>
      </c>
      <c r="E52" s="99" t="s">
        <v>157</v>
      </c>
      <c r="F52" s="101"/>
      <c r="G52" s="102"/>
      <c r="H52" s="102"/>
      <c r="I52" s="92"/>
    </row>
    <row r="53" spans="1:9" ht="12.75">
      <c r="A53" s="92"/>
      <c r="B53" s="94" t="s">
        <v>14</v>
      </c>
      <c r="C53" s="94" t="s">
        <v>17</v>
      </c>
      <c r="D53" s="100" t="str">
        <f>CONCATENATE("*",AM_Liste_Déroulante,"*")</f>
        <v>*2004*</v>
      </c>
      <c r="E53" s="100" t="str">
        <f>IF(DGET(Tableau_Entretien,KM,C52:C53)="","",CONCATENATE("*",DGET(Tableau_Entretien,KM,C52:C53),"*"))</f>
        <v>*I*</v>
      </c>
      <c r="F53" s="101" t="s">
        <v>92</v>
      </c>
      <c r="G53" s="102" t="s">
        <v>121</v>
      </c>
      <c r="H53" s="102" t="s">
        <v>184</v>
      </c>
      <c r="I53" s="92"/>
    </row>
    <row r="54" spans="1:9" ht="12.75">
      <c r="A54" s="92"/>
      <c r="B54" s="94"/>
      <c r="C54" s="94"/>
      <c r="D54" s="100"/>
      <c r="E54" s="100"/>
      <c r="F54" s="101"/>
      <c r="G54" s="102"/>
      <c r="H54" s="102"/>
      <c r="I54" s="92"/>
    </row>
    <row r="55" spans="1:9" ht="12.75">
      <c r="A55" s="92"/>
      <c r="B55" s="93" t="s">
        <v>66</v>
      </c>
      <c r="C55" s="93" t="s">
        <v>65</v>
      </c>
      <c r="D55" s="94" t="s">
        <v>63</v>
      </c>
      <c r="E55" s="99" t="s">
        <v>157</v>
      </c>
      <c r="F55" s="101"/>
      <c r="G55" s="102"/>
      <c r="H55" s="102"/>
      <c r="I55" s="92"/>
    </row>
    <row r="56" spans="1:9" ht="12.75">
      <c r="A56" s="92"/>
      <c r="B56" s="94" t="s">
        <v>14</v>
      </c>
      <c r="C56" s="94" t="s">
        <v>75</v>
      </c>
      <c r="D56" s="100" t="str">
        <f>CONCATENATE("*",AM_Liste_Déroulante,"*")</f>
        <v>*2004*</v>
      </c>
      <c r="E56" s="100" t="str">
        <f>IF(DGET(Tableau_Entretien,KM,C55:C56)="","",CONCATENATE("*",DGET(Tableau_Entretien,KM,C55:C56),"*"))</f>
        <v>*I*</v>
      </c>
      <c r="F56" s="101" t="s">
        <v>93</v>
      </c>
      <c r="G56" s="102" t="s">
        <v>122</v>
      </c>
      <c r="H56" s="102" t="s">
        <v>185</v>
      </c>
      <c r="I56" s="92"/>
    </row>
    <row r="57" spans="1:9" ht="12.75">
      <c r="A57" s="92"/>
      <c r="B57" s="94"/>
      <c r="C57" s="94"/>
      <c r="D57" s="100"/>
      <c r="E57" s="100"/>
      <c r="F57" s="101"/>
      <c r="G57" s="102"/>
      <c r="H57" s="102"/>
      <c r="I57" s="92"/>
    </row>
    <row r="58" spans="1:9" ht="12.75">
      <c r="A58" s="92"/>
      <c r="B58" s="93" t="s">
        <v>66</v>
      </c>
      <c r="C58" s="93" t="s">
        <v>65</v>
      </c>
      <c r="D58" s="94" t="s">
        <v>63</v>
      </c>
      <c r="E58" s="99" t="s">
        <v>157</v>
      </c>
      <c r="F58" s="101"/>
      <c r="G58" s="102"/>
      <c r="H58" s="102"/>
      <c r="I58" s="92"/>
    </row>
    <row r="59" spans="1:9" ht="12.75">
      <c r="A59" s="92"/>
      <c r="B59" s="94" t="s">
        <v>14</v>
      </c>
      <c r="C59" s="94" t="s">
        <v>18</v>
      </c>
      <c r="D59" s="100" t="str">
        <f>CONCATENATE("*",AM_Liste_Déroulante,"*")</f>
        <v>*2004*</v>
      </c>
      <c r="E59" s="100">
        <f>IF(DGET(Tableau_Entretien,KM,C58:C59)="","",CONCATENATE("*",DGET(Tableau_Entretien,KM,C58:C59),"*"))</f>
      </c>
      <c r="F59" s="101" t="s">
        <v>94</v>
      </c>
      <c r="G59" s="102" t="s">
        <v>123</v>
      </c>
      <c r="H59" s="102" t="s">
        <v>186</v>
      </c>
      <c r="I59" s="92"/>
    </row>
    <row r="60" spans="1:9" ht="12.75">
      <c r="A60" s="92"/>
      <c r="B60" s="94"/>
      <c r="C60" s="94"/>
      <c r="D60" s="100"/>
      <c r="E60" s="100"/>
      <c r="F60" s="101"/>
      <c r="G60" s="102"/>
      <c r="H60" s="102"/>
      <c r="I60" s="92"/>
    </row>
    <row r="61" spans="1:9" ht="12.75">
      <c r="A61" s="92"/>
      <c r="B61" s="93" t="s">
        <v>66</v>
      </c>
      <c r="C61" s="93" t="s">
        <v>65</v>
      </c>
      <c r="D61" s="94" t="s">
        <v>63</v>
      </c>
      <c r="E61" s="99" t="s">
        <v>157</v>
      </c>
      <c r="F61" s="101"/>
      <c r="G61" s="102"/>
      <c r="H61" s="102"/>
      <c r="I61" s="92"/>
    </row>
    <row r="62" spans="1:9" ht="12.75">
      <c r="A62" s="92"/>
      <c r="B62" s="94" t="s">
        <v>14</v>
      </c>
      <c r="C62" s="94" t="s">
        <v>204</v>
      </c>
      <c r="D62" s="100" t="str">
        <f>CONCATENATE("*",AM_Liste_Déroulante,"*")</f>
        <v>*2004*</v>
      </c>
      <c r="E62" s="100" t="str">
        <f>IF(DGET(Tableau_Entretien,KM,C61:C62)="","",CONCATENATE("*",DGET(Tableau_Entretien,KM,C61:C62),"*"))</f>
        <v>*I*</v>
      </c>
      <c r="F62" s="101" t="s">
        <v>212</v>
      </c>
      <c r="G62" s="102" t="s">
        <v>213</v>
      </c>
      <c r="H62" s="102" t="s">
        <v>214</v>
      </c>
      <c r="I62" s="92"/>
    </row>
    <row r="63" spans="1:9" ht="12.75">
      <c r="A63" s="92"/>
      <c r="B63" s="94"/>
      <c r="C63" s="94"/>
      <c r="D63" s="100"/>
      <c r="E63" s="100"/>
      <c r="F63" s="101"/>
      <c r="G63" s="102"/>
      <c r="H63" s="102"/>
      <c r="I63" s="92"/>
    </row>
    <row r="64" spans="1:9" ht="12.75">
      <c r="A64" s="92"/>
      <c r="B64" s="93" t="s">
        <v>66</v>
      </c>
      <c r="C64" s="93" t="s">
        <v>65</v>
      </c>
      <c r="D64" s="94" t="s">
        <v>63</v>
      </c>
      <c r="E64" s="99" t="s">
        <v>157</v>
      </c>
      <c r="F64" s="101"/>
      <c r="G64" s="102"/>
      <c r="H64" s="102"/>
      <c r="I64" s="92"/>
    </row>
    <row r="65" spans="1:9" ht="12.75">
      <c r="A65" s="92"/>
      <c r="B65" s="94" t="s">
        <v>14</v>
      </c>
      <c r="C65" s="94" t="s">
        <v>205</v>
      </c>
      <c r="D65" s="100" t="str">
        <f>CONCATENATE("*",AM_Liste_Déroulante,"*")</f>
        <v>*2004*</v>
      </c>
      <c r="E65" s="100" t="str">
        <f>IF(DGET(Tableau_Entretien,KM,C64:C65)="","",CONCATENATE("*",DGET(Tableau_Entretien,KM,C64:C65),"*"))</f>
        <v>*I*</v>
      </c>
      <c r="F65" s="101" t="s">
        <v>215</v>
      </c>
      <c r="G65" s="102" t="s">
        <v>216</v>
      </c>
      <c r="H65" s="102" t="s">
        <v>217</v>
      </c>
      <c r="I65" s="92"/>
    </row>
    <row r="66" spans="1:9" ht="12.75">
      <c r="A66" s="92"/>
      <c r="B66" s="94"/>
      <c r="C66" s="94"/>
      <c r="D66" s="100"/>
      <c r="E66" s="100"/>
      <c r="F66" s="101"/>
      <c r="G66" s="102"/>
      <c r="H66" s="102"/>
      <c r="I66" s="92"/>
    </row>
    <row r="67" spans="1:9" ht="12.75">
      <c r="A67" s="92"/>
      <c r="B67" s="93" t="s">
        <v>66</v>
      </c>
      <c r="C67" s="93" t="s">
        <v>65</v>
      </c>
      <c r="D67" s="94" t="s">
        <v>63</v>
      </c>
      <c r="E67" s="99" t="s">
        <v>157</v>
      </c>
      <c r="F67" s="101"/>
      <c r="G67" s="102"/>
      <c r="H67" s="102"/>
      <c r="I67" s="92"/>
    </row>
    <row r="68" spans="1:9" ht="12.75">
      <c r="A68" s="92"/>
      <c r="B68" s="94" t="s">
        <v>14</v>
      </c>
      <c r="C68" s="94" t="s">
        <v>206</v>
      </c>
      <c r="D68" s="100" t="str">
        <f>CONCATENATE("*",AM_Liste_Déroulante,"*")</f>
        <v>*2004*</v>
      </c>
      <c r="E68" s="100">
        <f>IF(DGET(Tableau_Entretien,KM,C67:C68)="","",CONCATENATE("*",DGET(Tableau_Entretien,KM,C67:C68),"*"))</f>
      </c>
      <c r="F68" s="101" t="s">
        <v>218</v>
      </c>
      <c r="G68" s="102" t="s">
        <v>219</v>
      </c>
      <c r="H68" s="102" t="s">
        <v>220</v>
      </c>
      <c r="I68" s="92"/>
    </row>
    <row r="69" spans="1:9" ht="12.75">
      <c r="A69" s="92"/>
      <c r="B69" s="94"/>
      <c r="C69" s="94"/>
      <c r="D69" s="100"/>
      <c r="E69" s="100"/>
      <c r="F69" s="101"/>
      <c r="G69" s="102"/>
      <c r="H69" s="102"/>
      <c r="I69" s="92"/>
    </row>
    <row r="70" spans="1:9" ht="12.75">
      <c r="A70" s="92"/>
      <c r="B70" s="93" t="s">
        <v>66</v>
      </c>
      <c r="C70" s="93" t="s">
        <v>65</v>
      </c>
      <c r="D70" s="94" t="s">
        <v>63</v>
      </c>
      <c r="E70" s="99" t="s">
        <v>157</v>
      </c>
      <c r="F70" s="101"/>
      <c r="G70" s="102"/>
      <c r="H70" s="102"/>
      <c r="I70" s="92"/>
    </row>
    <row r="71" spans="1:9" ht="12.75">
      <c r="A71" s="92"/>
      <c r="B71" s="94" t="s">
        <v>14</v>
      </c>
      <c r="C71" s="94" t="s">
        <v>207</v>
      </c>
      <c r="D71" s="100" t="str">
        <f>CONCATENATE("*",AM_Liste_Déroulante,"*")</f>
        <v>*2004*</v>
      </c>
      <c r="E71" s="100">
        <f>IF(DGET(Tableau_Entretien,KM,C70:C71)="","",CONCATENATE("*",DGET(Tableau_Entretien,KM,C70:C71),"*"))</f>
      </c>
      <c r="F71" s="101" t="s">
        <v>221</v>
      </c>
      <c r="G71" s="102" t="s">
        <v>222</v>
      </c>
      <c r="H71" s="102" t="s">
        <v>223</v>
      </c>
      <c r="I71" s="92"/>
    </row>
    <row r="72" spans="1:9" ht="12.75">
      <c r="A72" s="92"/>
      <c r="B72" s="94"/>
      <c r="C72" s="94"/>
      <c r="D72" s="100"/>
      <c r="E72" s="100"/>
      <c r="F72" s="101"/>
      <c r="G72" s="102"/>
      <c r="H72" s="102"/>
      <c r="I72" s="92"/>
    </row>
    <row r="73" spans="1:9" ht="12.75">
      <c r="A73" s="92"/>
      <c r="B73" s="93" t="s">
        <v>66</v>
      </c>
      <c r="C73" s="93" t="s">
        <v>65</v>
      </c>
      <c r="D73" s="94" t="s">
        <v>63</v>
      </c>
      <c r="E73" s="99" t="s">
        <v>157</v>
      </c>
      <c r="F73" s="101"/>
      <c r="G73" s="102"/>
      <c r="H73" s="102"/>
      <c r="I73" s="92"/>
    </row>
    <row r="74" spans="1:9" ht="12.75">
      <c r="A74" s="92"/>
      <c r="B74" s="94" t="s">
        <v>14</v>
      </c>
      <c r="C74" s="94" t="s">
        <v>208</v>
      </c>
      <c r="D74" s="100" t="str">
        <f>CONCATENATE("*",AM_Liste_Déroulante,"*")</f>
        <v>*2004*</v>
      </c>
      <c r="E74" s="100" t="str">
        <f>IF(DGET(Tableau_Entretien,KM,C73:C74)="","",CONCATENATE("*",DGET(Tableau_Entretien,KM,C73:C74),"*"))</f>
        <v>*I*</v>
      </c>
      <c r="F74" s="101" t="s">
        <v>224</v>
      </c>
      <c r="G74" s="102" t="s">
        <v>225</v>
      </c>
      <c r="H74" s="102" t="s">
        <v>226</v>
      </c>
      <c r="I74" s="92"/>
    </row>
    <row r="75" spans="1:9" ht="12.75">
      <c r="A75" s="92"/>
      <c r="B75" s="94"/>
      <c r="C75" s="94"/>
      <c r="D75" s="100"/>
      <c r="E75" s="100"/>
      <c r="F75" s="101"/>
      <c r="G75" s="102"/>
      <c r="H75" s="102"/>
      <c r="I75" s="92"/>
    </row>
    <row r="76" spans="1:9" ht="12.75">
      <c r="A76" s="92"/>
      <c r="B76" s="93" t="s">
        <v>66</v>
      </c>
      <c r="C76" s="93" t="s">
        <v>65</v>
      </c>
      <c r="D76" s="94" t="s">
        <v>63</v>
      </c>
      <c r="E76" s="99" t="s">
        <v>157</v>
      </c>
      <c r="F76" s="101"/>
      <c r="G76" s="102"/>
      <c r="H76" s="102"/>
      <c r="I76" s="92"/>
    </row>
    <row r="77" spans="1:9" ht="12.75">
      <c r="A77" s="92"/>
      <c r="B77" s="94" t="s">
        <v>14</v>
      </c>
      <c r="C77" s="94" t="s">
        <v>209</v>
      </c>
      <c r="D77" s="100" t="str">
        <f>CONCATENATE("*",AM_Liste_Déroulante,"*")</f>
        <v>*2004*</v>
      </c>
      <c r="E77" s="100" t="str">
        <f>IF(DGET(Tableau_Entretien,KM,C76:C77)="","",CONCATENATE("*",DGET(Tableau_Entretien,KM,C76:C77),"*"))</f>
        <v>*I*</v>
      </c>
      <c r="F77" s="101" t="s">
        <v>227</v>
      </c>
      <c r="G77" s="102" t="s">
        <v>228</v>
      </c>
      <c r="H77" s="102" t="s">
        <v>229</v>
      </c>
      <c r="I77" s="92"/>
    </row>
    <row r="78" spans="1:9" ht="12.75">
      <c r="A78" s="92"/>
      <c r="B78" s="94"/>
      <c r="C78" s="94"/>
      <c r="D78" s="100"/>
      <c r="E78" s="100"/>
      <c r="F78" s="101"/>
      <c r="G78" s="102"/>
      <c r="H78" s="102"/>
      <c r="I78" s="92"/>
    </row>
    <row r="79" spans="1:9" ht="12.75">
      <c r="A79" s="92"/>
      <c r="B79" s="93" t="s">
        <v>66</v>
      </c>
      <c r="C79" s="93" t="s">
        <v>65</v>
      </c>
      <c r="D79" s="94" t="s">
        <v>63</v>
      </c>
      <c r="E79" s="99" t="s">
        <v>157</v>
      </c>
      <c r="F79" s="101"/>
      <c r="G79" s="102"/>
      <c r="H79" s="102"/>
      <c r="I79" s="92"/>
    </row>
    <row r="80" spans="1:9" ht="12.75">
      <c r="A80" s="92"/>
      <c r="B80" s="94" t="s">
        <v>14</v>
      </c>
      <c r="C80" s="94" t="s">
        <v>23</v>
      </c>
      <c r="D80" s="100" t="str">
        <f>CONCATENATE("*",AM_Liste_Déroulante,"*")</f>
        <v>*2004*</v>
      </c>
      <c r="E80" s="100" t="str">
        <f>IF(DGET(Tableau_Entretien,KM,C79:C80)="","",CONCATENATE("*",DGET(Tableau_Entretien,KM,C79:C80),"*"))</f>
        <v>*I*</v>
      </c>
      <c r="F80" s="101" t="s">
        <v>95</v>
      </c>
      <c r="G80" s="102" t="s">
        <v>124</v>
      </c>
      <c r="H80" s="102" t="s">
        <v>187</v>
      </c>
      <c r="I80" s="92"/>
    </row>
    <row r="81" spans="1:9" ht="12.75">
      <c r="A81" s="92"/>
      <c r="B81" s="94"/>
      <c r="C81" s="94"/>
      <c r="D81" s="100"/>
      <c r="E81" s="100"/>
      <c r="F81" s="101"/>
      <c r="G81" s="102"/>
      <c r="H81" s="102"/>
      <c r="I81" s="92"/>
    </row>
    <row r="82" spans="1:9" ht="12.75">
      <c r="A82" s="92"/>
      <c r="B82" s="93" t="s">
        <v>66</v>
      </c>
      <c r="C82" s="93" t="s">
        <v>65</v>
      </c>
      <c r="D82" s="94" t="s">
        <v>63</v>
      </c>
      <c r="E82" s="99" t="s">
        <v>157</v>
      </c>
      <c r="F82" s="101"/>
      <c r="G82" s="102"/>
      <c r="H82" s="102"/>
      <c r="I82" s="92"/>
    </row>
    <row r="83" spans="1:9" ht="12.75">
      <c r="A83" s="92"/>
      <c r="B83" s="94" t="s">
        <v>14</v>
      </c>
      <c r="C83" s="94" t="s">
        <v>24</v>
      </c>
      <c r="D83" s="100" t="str">
        <f>CONCATENATE("*",AM_Liste_Déroulante,"*")</f>
        <v>*2004*</v>
      </c>
      <c r="E83" s="100" t="str">
        <f>IF(DGET(Tableau_Entretien,KM,C82:C83)="","",CONCATENATE("*",DGET(Tableau_Entretien,KM,C82:C83),"*"))</f>
        <v>*I*</v>
      </c>
      <c r="F83" s="101" t="s">
        <v>96</v>
      </c>
      <c r="G83" s="102" t="s">
        <v>125</v>
      </c>
      <c r="H83" s="102" t="s">
        <v>188</v>
      </c>
      <c r="I83" s="92"/>
    </row>
    <row r="84" spans="1:9" ht="12.75">
      <c r="A84" s="92"/>
      <c r="B84" s="94"/>
      <c r="C84" s="94"/>
      <c r="D84" s="100"/>
      <c r="E84" s="100"/>
      <c r="F84" s="101"/>
      <c r="G84" s="102"/>
      <c r="H84" s="102"/>
      <c r="I84" s="92"/>
    </row>
    <row r="85" spans="1:9" ht="12.75">
      <c r="A85" s="92"/>
      <c r="B85" s="93" t="s">
        <v>66</v>
      </c>
      <c r="C85" s="93" t="s">
        <v>65</v>
      </c>
      <c r="D85" s="94" t="s">
        <v>63</v>
      </c>
      <c r="E85" s="99" t="s">
        <v>157</v>
      </c>
      <c r="F85" s="101"/>
      <c r="G85" s="102"/>
      <c r="H85" s="102"/>
      <c r="I85" s="92"/>
    </row>
    <row r="86" spans="1:9" ht="12.75">
      <c r="A86" s="92"/>
      <c r="B86" s="94" t="s">
        <v>14</v>
      </c>
      <c r="C86" s="94" t="s">
        <v>43</v>
      </c>
      <c r="D86" s="100" t="str">
        <f>CONCATENATE("*",AM_Liste_Déroulante,"*")</f>
        <v>*2004*</v>
      </c>
      <c r="E86" s="100">
        <f>IF(DGET(Tableau_Entretien,KM,C85:C86)="","",CONCATENATE("*",DGET(Tableau_Entretien,KM,C85:C86),"*"))</f>
      </c>
      <c r="F86" s="101" t="s">
        <v>97</v>
      </c>
      <c r="G86" s="102" t="s">
        <v>126</v>
      </c>
      <c r="H86" s="102" t="s">
        <v>189</v>
      </c>
      <c r="I86" s="92"/>
    </row>
    <row r="87" spans="1:9" ht="12.75">
      <c r="A87" s="92"/>
      <c r="B87" s="94"/>
      <c r="C87" s="94"/>
      <c r="D87" s="100"/>
      <c r="E87" s="100"/>
      <c r="F87" s="101"/>
      <c r="G87" s="102"/>
      <c r="H87" s="102"/>
      <c r="I87" s="92"/>
    </row>
    <row r="88" spans="1:9" ht="12.75">
      <c r="A88" s="92"/>
      <c r="B88" s="93" t="s">
        <v>66</v>
      </c>
      <c r="C88" s="93" t="s">
        <v>65</v>
      </c>
      <c r="D88" s="94" t="s">
        <v>63</v>
      </c>
      <c r="E88" s="99" t="s">
        <v>157</v>
      </c>
      <c r="F88" s="101"/>
      <c r="G88" s="102"/>
      <c r="H88" s="102"/>
      <c r="I88" s="92"/>
    </row>
    <row r="89" spans="1:9" ht="12.75">
      <c r="A89" s="92"/>
      <c r="B89" s="94" t="s">
        <v>14</v>
      </c>
      <c r="C89" s="94" t="s">
        <v>210</v>
      </c>
      <c r="D89" s="100" t="str">
        <f>CONCATENATE("*",AM_Liste_Déroulante,"*")</f>
        <v>*2004*</v>
      </c>
      <c r="E89" s="100" t="str">
        <f>IF(DGET(Tableau_Entretien,KM,C88:C89)="","",CONCATENATE("*",DGET(Tableau_Entretien,KM,C88:C89),"*"))</f>
        <v>*I*</v>
      </c>
      <c r="F89" s="128" t="s">
        <v>230</v>
      </c>
      <c r="G89" s="129" t="s">
        <v>231</v>
      </c>
      <c r="H89" s="102" t="s">
        <v>232</v>
      </c>
      <c r="I89" s="92"/>
    </row>
    <row r="90" spans="1:9" ht="12.75">
      <c r="A90" s="92"/>
      <c r="B90" s="94"/>
      <c r="C90" s="94"/>
      <c r="D90" s="100"/>
      <c r="E90" s="100"/>
      <c r="F90" s="133"/>
      <c r="G90" s="102"/>
      <c r="H90" s="102"/>
      <c r="I90" s="92"/>
    </row>
    <row r="91" spans="1:9" ht="12.75">
      <c r="A91" s="92"/>
      <c r="B91" s="93" t="s">
        <v>66</v>
      </c>
      <c r="C91" s="93" t="s">
        <v>65</v>
      </c>
      <c r="D91" s="94" t="s">
        <v>63</v>
      </c>
      <c r="E91" s="99" t="s">
        <v>157</v>
      </c>
      <c r="F91" s="133"/>
      <c r="G91" s="102"/>
      <c r="H91" s="102"/>
      <c r="I91" s="92"/>
    </row>
    <row r="92" spans="1:9" ht="12.75">
      <c r="A92" s="92"/>
      <c r="B92" s="94" t="s">
        <v>14</v>
      </c>
      <c r="C92" s="94" t="s">
        <v>211</v>
      </c>
      <c r="D92" s="100" t="str">
        <f>CONCATENATE("*",AM_Liste_Déroulante,"*")</f>
        <v>*2004*</v>
      </c>
      <c r="E92" s="100" t="str">
        <f>IF(DGET(Tableau_Entretien,KM,C91:C92)="","",CONCATENATE("*",DGET(Tableau_Entretien,KM,C91:C92),"*"))</f>
        <v>*I*</v>
      </c>
      <c r="F92" s="128" t="s">
        <v>233</v>
      </c>
      <c r="G92" s="129" t="s">
        <v>234</v>
      </c>
      <c r="H92" s="102" t="s">
        <v>235</v>
      </c>
      <c r="I92" s="92"/>
    </row>
    <row r="93" spans="1:9" ht="12.75">
      <c r="A93" s="92"/>
      <c r="B93" s="94"/>
      <c r="C93" s="94"/>
      <c r="D93" s="100"/>
      <c r="E93" s="100"/>
      <c r="F93" s="101"/>
      <c r="G93" s="102"/>
      <c r="H93" s="102"/>
      <c r="I93" s="92"/>
    </row>
    <row r="94" spans="1:9" ht="12.75">
      <c r="A94" s="92"/>
      <c r="B94" s="93" t="s">
        <v>66</v>
      </c>
      <c r="C94" s="93" t="s">
        <v>65</v>
      </c>
      <c r="D94" s="94" t="s">
        <v>63</v>
      </c>
      <c r="E94" s="99" t="s">
        <v>157</v>
      </c>
      <c r="F94" s="101"/>
      <c r="G94" s="102"/>
      <c r="H94" s="102"/>
      <c r="I94" s="92"/>
    </row>
    <row r="95" spans="1:9" ht="12.75">
      <c r="A95" s="92"/>
      <c r="B95" s="94" t="s">
        <v>25</v>
      </c>
      <c r="C95" s="94" t="s">
        <v>26</v>
      </c>
      <c r="D95" s="100" t="str">
        <f>CONCATENATE("*",AM_Liste_Déroulante,"*")</f>
        <v>*2004*</v>
      </c>
      <c r="E95" s="100" t="str">
        <f>IF(DGET(Tableau_Entretien,KM,C94:C95)="","",CONCATENATE("*",DGET(Tableau_Entretien,KM,C94:C95),"*"))</f>
        <v>*S*</v>
      </c>
      <c r="F95" s="101" t="s">
        <v>98</v>
      </c>
      <c r="G95" s="102" t="s">
        <v>127</v>
      </c>
      <c r="H95" s="102" t="s">
        <v>190</v>
      </c>
      <c r="I95" s="92"/>
    </row>
    <row r="96" spans="1:9" ht="12.75">
      <c r="A96" s="92"/>
      <c r="B96" s="94"/>
      <c r="C96" s="94"/>
      <c r="D96" s="100"/>
      <c r="E96" s="100"/>
      <c r="F96" s="101"/>
      <c r="G96" s="102"/>
      <c r="H96" s="102"/>
      <c r="I96" s="92"/>
    </row>
    <row r="97" spans="1:9" ht="12.75">
      <c r="A97" s="92"/>
      <c r="B97" s="93" t="s">
        <v>66</v>
      </c>
      <c r="C97" s="93" t="s">
        <v>65</v>
      </c>
      <c r="D97" s="94" t="s">
        <v>63</v>
      </c>
      <c r="E97" s="99" t="s">
        <v>157</v>
      </c>
      <c r="F97" s="101"/>
      <c r="G97" s="102"/>
      <c r="H97" s="102"/>
      <c r="I97" s="92"/>
    </row>
    <row r="98" spans="1:9" ht="12.75">
      <c r="A98" s="92"/>
      <c r="B98" s="94" t="s">
        <v>25</v>
      </c>
      <c r="C98" s="94" t="s">
        <v>76</v>
      </c>
      <c r="D98" s="100" t="str">
        <f>CONCATENATE("*",AM_Liste_Déroulante,"*")</f>
        <v>*2004*</v>
      </c>
      <c r="E98" s="100" t="str">
        <f>IF(DGET(Tableau_Entretien,KM,C97:C98)="","",CONCATENATE("*",DGET(Tableau_Entretien,KM,C97:C98),"*"))</f>
        <v>*S*</v>
      </c>
      <c r="F98" s="101" t="s">
        <v>99</v>
      </c>
      <c r="G98" s="102" t="s">
        <v>128</v>
      </c>
      <c r="H98" s="102" t="s">
        <v>191</v>
      </c>
      <c r="I98" s="92"/>
    </row>
    <row r="99" spans="1:9" ht="12.75">
      <c r="A99" s="92"/>
      <c r="B99" s="94"/>
      <c r="C99" s="94"/>
      <c r="D99" s="94"/>
      <c r="E99" s="94"/>
      <c r="F99" s="101"/>
      <c r="G99" s="129"/>
      <c r="H99" s="102"/>
      <c r="I99" s="92"/>
    </row>
    <row r="100" spans="1:9" ht="12.75">
      <c r="A100" s="92"/>
      <c r="B100" s="93" t="s">
        <v>66</v>
      </c>
      <c r="C100" s="93" t="s">
        <v>65</v>
      </c>
      <c r="D100" s="94" t="s">
        <v>63</v>
      </c>
      <c r="E100" s="99" t="s">
        <v>157</v>
      </c>
      <c r="F100" s="101"/>
      <c r="G100" s="129"/>
      <c r="H100" s="102"/>
      <c r="I100" s="92"/>
    </row>
    <row r="101" spans="1:9" ht="12.75">
      <c r="A101" s="92"/>
      <c r="B101" s="94" t="s">
        <v>25</v>
      </c>
      <c r="C101" s="94" t="s">
        <v>142</v>
      </c>
      <c r="D101" s="100" t="str">
        <f>CONCATENATE("*",AM_Liste_Déroulante,"*")</f>
        <v>*2004*</v>
      </c>
      <c r="E101" s="100" t="str">
        <f>IF(DGET(Tableau_Entretien,KM,C100:C101)="","",CONCATENATE("*",DGET(Tableau_Entretien,KM,C100:C101),"*"))</f>
        <v>*E*</v>
      </c>
      <c r="F101" s="101" t="s">
        <v>196</v>
      </c>
      <c r="G101" s="129" t="s">
        <v>197</v>
      </c>
      <c r="H101" s="102" t="s">
        <v>198</v>
      </c>
      <c r="I101" s="92"/>
    </row>
    <row r="102" spans="1:9" ht="12.75">
      <c r="A102" s="92"/>
      <c r="B102" s="92"/>
      <c r="C102" s="92"/>
      <c r="D102" s="92"/>
      <c r="E102" s="92"/>
      <c r="F102" s="101"/>
      <c r="G102" s="129"/>
      <c r="H102" s="102"/>
      <c r="I102" s="92"/>
    </row>
  </sheetData>
  <sheetProtection/>
  <mergeCells count="2">
    <mergeCell ref="F2:G2"/>
    <mergeCell ref="B2:E2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13.00390625" style="0" customWidth="1"/>
    <col min="2" max="2" width="1.1484375" style="0" customWidth="1"/>
    <col min="3" max="3" width="85.00390625" style="0" bestFit="1" customWidth="1"/>
    <col min="4" max="4" width="1.1484375" style="0" customWidth="1"/>
    <col min="5" max="5" width="7.28125" style="0" bestFit="1" customWidth="1"/>
  </cols>
  <sheetData>
    <row r="1" spans="1:5" ht="12.75">
      <c r="A1" s="247" t="s">
        <v>260</v>
      </c>
      <c r="B1" s="247"/>
      <c r="C1" s="247"/>
      <c r="D1" s="247"/>
      <c r="E1" s="247"/>
    </row>
    <row r="2" spans="1:3" ht="12.75">
      <c r="A2" s="43"/>
      <c r="B2" s="43"/>
      <c r="C2" s="43"/>
    </row>
    <row r="3" spans="1:5" ht="12.75">
      <c r="A3" s="3" t="s">
        <v>261</v>
      </c>
      <c r="B3" s="3"/>
      <c r="C3" s="3" t="s">
        <v>262</v>
      </c>
      <c r="E3" t="s">
        <v>263</v>
      </c>
    </row>
    <row r="4" spans="1:5" ht="12.75">
      <c r="A4" s="225">
        <v>39488</v>
      </c>
      <c r="C4" t="s">
        <v>269</v>
      </c>
      <c r="E4" t="s">
        <v>264</v>
      </c>
    </row>
    <row r="5" spans="1:5" ht="12.75">
      <c r="A5" s="225">
        <v>39489</v>
      </c>
      <c r="C5" t="s">
        <v>268</v>
      </c>
      <c r="E5" t="s">
        <v>264</v>
      </c>
    </row>
    <row r="6" spans="1:5" ht="12.75">
      <c r="A6" s="225">
        <v>39521</v>
      </c>
      <c r="C6" t="s">
        <v>266</v>
      </c>
      <c r="E6" t="s">
        <v>265</v>
      </c>
    </row>
    <row r="7" spans="1:5" ht="12.75">
      <c r="A7" s="225">
        <v>39521</v>
      </c>
      <c r="C7" t="s">
        <v>267</v>
      </c>
      <c r="E7" t="s">
        <v>265</v>
      </c>
    </row>
    <row r="8" spans="1:5" ht="12.75">
      <c r="A8" s="225">
        <v>39521</v>
      </c>
      <c r="C8" t="s">
        <v>276</v>
      </c>
      <c r="E8" t="s">
        <v>265</v>
      </c>
    </row>
    <row r="9" spans="1:5" ht="12.75">
      <c r="A9" s="225">
        <v>39521</v>
      </c>
      <c r="C9" t="s">
        <v>270</v>
      </c>
      <c r="E9" t="s">
        <v>265</v>
      </c>
    </row>
    <row r="10" spans="1:5" ht="12.75">
      <c r="A10" s="225">
        <v>39698</v>
      </c>
      <c r="C10" t="s">
        <v>280</v>
      </c>
      <c r="E10" t="s">
        <v>265</v>
      </c>
    </row>
    <row r="11" spans="1:5" ht="12.75">
      <c r="A11" s="225">
        <v>39698</v>
      </c>
      <c r="C11" t="s">
        <v>275</v>
      </c>
      <c r="E11" t="s">
        <v>265</v>
      </c>
    </row>
    <row r="12" spans="1:5" ht="12.75">
      <c r="A12" s="225">
        <v>39698</v>
      </c>
      <c r="C12" t="s">
        <v>278</v>
      </c>
      <c r="E12" t="s">
        <v>265</v>
      </c>
    </row>
    <row r="13" spans="1:5" ht="12.75">
      <c r="A13" s="225">
        <v>39698</v>
      </c>
      <c r="C13" t="s">
        <v>279</v>
      </c>
      <c r="E13" t="s">
        <v>265</v>
      </c>
    </row>
    <row r="14" spans="1:5" ht="12.75">
      <c r="A14" s="225">
        <v>39698</v>
      </c>
      <c r="C14" t="s">
        <v>282</v>
      </c>
      <c r="E14" t="s">
        <v>265</v>
      </c>
    </row>
    <row r="15" spans="1:5" ht="12.75">
      <c r="A15" s="225">
        <v>39698</v>
      </c>
      <c r="C15" t="s">
        <v>283</v>
      </c>
      <c r="E15" t="s">
        <v>265</v>
      </c>
    </row>
    <row r="16" ht="12.75">
      <c r="A16" s="225"/>
    </row>
    <row r="17" ht="12.75">
      <c r="A17" s="225"/>
    </row>
    <row r="18" ht="12.75">
      <c r="A18" s="225"/>
    </row>
    <row r="19" ht="12.75">
      <c r="A19" s="225"/>
    </row>
    <row r="20" ht="12.75">
      <c r="A20" s="225"/>
    </row>
    <row r="21" ht="12.75">
      <c r="A21" s="225"/>
    </row>
    <row r="22" ht="12.75">
      <c r="A22" s="225"/>
    </row>
    <row r="23" ht="12.75">
      <c r="A23" s="225"/>
    </row>
    <row r="24" ht="12.75">
      <c r="A24" s="225"/>
    </row>
    <row r="25" ht="12.75">
      <c r="A25" s="225"/>
    </row>
    <row r="26" ht="12.75">
      <c r="A26" s="225"/>
    </row>
    <row r="27" ht="12.75">
      <c r="A27" s="225"/>
    </row>
    <row r="28" ht="12.75">
      <c r="A28" s="225"/>
    </row>
    <row r="29" ht="12.75">
      <c r="A29" s="225"/>
    </row>
    <row r="30" ht="12.75">
      <c r="A30" s="225"/>
    </row>
    <row r="31" ht="12.75">
      <c r="A31" s="225"/>
    </row>
    <row r="32" ht="12.75">
      <c r="A32" s="225"/>
    </row>
    <row r="33" ht="12.75">
      <c r="A33" s="225"/>
    </row>
    <row r="34" ht="12.75">
      <c r="A34" s="225"/>
    </row>
    <row r="35" ht="12.75">
      <c r="A35" s="225"/>
    </row>
    <row r="36" ht="12.75">
      <c r="A36" s="225"/>
    </row>
    <row r="37" ht="12.75">
      <c r="A37" s="225"/>
    </row>
    <row r="38" ht="12.75">
      <c r="A38" s="225"/>
    </row>
    <row r="39" ht="12.75">
      <c r="A39" s="225"/>
    </row>
    <row r="40" ht="12.75">
      <c r="A40" s="225"/>
    </row>
    <row r="41" ht="12.75">
      <c r="A41" s="225"/>
    </row>
    <row r="42" ht="12.75">
      <c r="A42" s="225"/>
    </row>
    <row r="43" ht="12.75">
      <c r="A43" s="225"/>
    </row>
    <row r="44" ht="12.75">
      <c r="A44" s="225"/>
    </row>
    <row r="45" ht="12.75">
      <c r="A45" s="225"/>
    </row>
    <row r="46" ht="12.75">
      <c r="A46" s="225"/>
    </row>
    <row r="47" ht="12.75">
      <c r="A47" s="225"/>
    </row>
    <row r="48" ht="12.75">
      <c r="A48" s="225"/>
    </row>
    <row r="49" ht="12.75">
      <c r="A49" s="225"/>
    </row>
    <row r="50" ht="12.75">
      <c r="A50" s="225"/>
    </row>
    <row r="51" ht="12.75">
      <c r="A51" s="225"/>
    </row>
    <row r="52" ht="12.75">
      <c r="A52" s="225"/>
    </row>
    <row r="53" ht="12.75">
      <c r="A53" s="225"/>
    </row>
    <row r="54" ht="12.75">
      <c r="A54" s="225"/>
    </row>
    <row r="55" ht="12.75">
      <c r="A55" s="225"/>
    </row>
    <row r="56" ht="12.75">
      <c r="A56" s="225"/>
    </row>
    <row r="57" ht="12.75">
      <c r="A57" s="225"/>
    </row>
    <row r="58" ht="12.75">
      <c r="A58" s="225"/>
    </row>
    <row r="59" ht="12.75">
      <c r="A59" s="225"/>
    </row>
    <row r="60" ht="12.75">
      <c r="A60" s="225"/>
    </row>
    <row r="61" ht="12.75">
      <c r="A61" s="225"/>
    </row>
    <row r="62" ht="12.75">
      <c r="A62" s="225"/>
    </row>
    <row r="63" ht="12.75">
      <c r="A63" s="225"/>
    </row>
    <row r="64" ht="12.75">
      <c r="A64" s="225"/>
    </row>
    <row r="65" ht="12.75">
      <c r="A65" s="225"/>
    </row>
    <row r="66" ht="12.75">
      <c r="A66" s="225"/>
    </row>
    <row r="67" ht="12.75">
      <c r="A67" s="225"/>
    </row>
    <row r="68" ht="12.75">
      <c r="A68" s="225"/>
    </row>
    <row r="69" ht="12.75">
      <c r="A69" s="22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J-F F</dc:creator>
  <cp:keywords/>
  <dc:description/>
  <cp:lastModifiedBy>utilisateur</cp:lastModifiedBy>
  <cp:lastPrinted>2007-12-21T07:32:09Z</cp:lastPrinted>
  <dcterms:created xsi:type="dcterms:W3CDTF">2007-04-23T07:11:02Z</dcterms:created>
  <dcterms:modified xsi:type="dcterms:W3CDTF">2010-02-12T05:20:48Z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